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Ex1.xml" ContentType="application/vnd.ms-office.chartex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/>
  <mc:AlternateContent xmlns:mc="http://schemas.openxmlformats.org/markup-compatibility/2006">
    <mc:Choice Requires="x15">
      <x15ac:absPath xmlns:x15ac="http://schemas.microsoft.com/office/spreadsheetml/2010/11/ac" url="/Users/alia/Downloads/"/>
    </mc:Choice>
  </mc:AlternateContent>
  <xr:revisionPtr revIDLastSave="0" documentId="8_{F44AF8ED-CCB3-A849-85E4-C8160CE8D747}" xr6:coauthVersionLast="47" xr6:coauthVersionMax="47" xr10:uidLastSave="{00000000-0000-0000-0000-000000000000}"/>
  <bookViews>
    <workbookView xWindow="0" yWindow="500" windowWidth="28800" windowHeight="16320" tabRatio="685" xr2:uid="{00000000-000D-0000-FFFF-FFFF00000000}"/>
  </bookViews>
  <sheets>
    <sheet name="WACC" sheetId="32" r:id="rId1"/>
    <sheet name="Forecasts" sheetId="30" r:id="rId2"/>
    <sheet name="DCF Model" sheetId="25" r:id="rId3"/>
  </sheets>
  <definedNames>
    <definedName name="_xlchart.v1.0" hidden="1">'DCF Model'!$L$37:$L$39</definedName>
    <definedName name="_xlchart.v1.1" hidden="1">'DCF Model'!$N$37:$N$39</definedName>
    <definedName name="_xlchart.v1.2" hidden="1">'DCF Model'!$L$37:$L$39</definedName>
    <definedName name="_xlchart.v1.3" hidden="1">'DCF Model'!$N$37:$N$39</definedName>
    <definedName name="_xlchart.v1.4" hidden="1">'DCF Model'!$L$37:$L$39</definedName>
    <definedName name="_xlchart.v1.5" hidden="1">'DCF Model'!$N$37:$N$39</definedName>
    <definedName name="CIQWBGuid" hidden="1">"2cd8126d-26c3-430c-b7fa-a069e3a1fc62"</definedName>
    <definedName name="IQ_CH" hidden="1">110000</definedName>
    <definedName name="IQ_CQ" hidden="1">5000</definedName>
    <definedName name="IQ_CY" hidden="1">10000</definedName>
    <definedName name="IQ_DAILY" hidden="1">500000</definedName>
    <definedName name="IQ_DNTM" hidden="1">700000</definedName>
    <definedName name="IQ_FH" hidden="1">100000</definedName>
    <definedName name="IQ_FQ" hidden="1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 hidden="1">1000</definedName>
    <definedName name="IQ_LATESTK" hidden="1">1000</definedName>
    <definedName name="IQ_LATESTQ" hidden="1">500</definedName>
    <definedName name="IQ_LTM" hidden="1">2000</definedName>
    <definedName name="IQ_LTMMONTH" hidden="1">120000</definedName>
    <definedName name="IQ_MONTH" hidden="1">15000</definedName>
    <definedName name="IQ_MTD" hidden="1">800000</definedName>
    <definedName name="IQ_NAMES_REVISION_DATE_" hidden="1">41666.7099189815</definedName>
    <definedName name="IQ_NTM" hidden="1">6000</definedName>
    <definedName name="IQ_QTD" hidden="1">750000</definedName>
    <definedName name="IQ_TODAY" hidden="1">0</definedName>
    <definedName name="IQ_WEEK" hidden="1">50000</definedName>
    <definedName name="IQ_YTD" hidden="1">3000</definedName>
    <definedName name="IQ_YTDMONTH" hidden="1">130000</definedName>
  </definedNames>
  <calcPr calcId="191028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" i="30" l="1"/>
  <c r="C5" i="30"/>
  <c r="D3" i="30"/>
  <c r="C3" i="30"/>
  <c r="G13" i="30"/>
  <c r="G14" i="30"/>
  <c r="B16" i="30"/>
  <c r="H14" i="30"/>
  <c r="I14" i="30"/>
  <c r="J14" i="30"/>
  <c r="K14" i="30"/>
  <c r="B15" i="30"/>
  <c r="B11" i="32"/>
  <c r="B2" i="32" l="1"/>
  <c r="B10" i="32" s="1"/>
  <c r="B1" i="32"/>
  <c r="B8" i="32"/>
  <c r="B3" i="32" l="1"/>
  <c r="B4" i="32"/>
  <c r="B12" i="32" s="1"/>
  <c r="E25" i="25" l="1"/>
  <c r="D35" i="25"/>
  <c r="D34" i="25"/>
  <c r="I38" i="25"/>
  <c r="N13" i="25" s="1"/>
  <c r="F25" i="25"/>
  <c r="G25" i="25"/>
  <c r="H25" i="25"/>
  <c r="I25" i="25"/>
  <c r="E24" i="25"/>
  <c r="E21" i="25"/>
  <c r="F20" i="25"/>
  <c r="G20" i="25" s="1"/>
  <c r="E19" i="25"/>
  <c r="D19" i="25"/>
  <c r="B31" i="30"/>
  <c r="B30" i="30"/>
  <c r="B26" i="30"/>
  <c r="H13" i="30"/>
  <c r="I13" i="30" s="1"/>
  <c r="J13" i="30" s="1"/>
  <c r="K13" i="30" s="1"/>
  <c r="F12" i="30"/>
  <c r="B6" i="30" s="1"/>
  <c r="G12" i="30" s="1"/>
  <c r="N14" i="25" l="1"/>
  <c r="O14" i="25" s="1"/>
  <c r="O13" i="25"/>
  <c r="C30" i="30"/>
  <c r="D30" i="30"/>
  <c r="E30" i="30"/>
  <c r="F30" i="30"/>
  <c r="C26" i="30"/>
  <c r="D26" i="30"/>
  <c r="E26" i="30"/>
  <c r="F26" i="30"/>
  <c r="F33" i="30"/>
  <c r="F25" i="30"/>
  <c r="B36" i="30"/>
  <c r="C33" i="30"/>
  <c r="D33" i="30"/>
  <c r="D34" i="30" s="1"/>
  <c r="E33" i="30"/>
  <c r="E34" i="30" s="1"/>
  <c r="B33" i="30"/>
  <c r="B29" i="30"/>
  <c r="C29" i="30"/>
  <c r="C31" i="30"/>
  <c r="D31" i="30"/>
  <c r="E31" i="30"/>
  <c r="B4" i="30"/>
  <c r="D25" i="30"/>
  <c r="E25" i="30"/>
  <c r="D29" i="30"/>
  <c r="E29" i="30"/>
  <c r="F29" i="30"/>
  <c r="B23" i="30"/>
  <c r="C23" i="30"/>
  <c r="D23" i="30"/>
  <c r="E23" i="30"/>
  <c r="E18" i="25"/>
  <c r="G32" i="30" l="1"/>
  <c r="C34" i="30"/>
  <c r="F34" i="30"/>
  <c r="F31" i="30"/>
  <c r="F23" i="30" s="1"/>
  <c r="N37" i="25"/>
  <c r="H32" i="30" l="1"/>
  <c r="I32" i="30" s="1"/>
  <c r="J32" i="30" s="1"/>
  <c r="K32" i="30" s="1"/>
  <c r="G28" i="30"/>
  <c r="G24" i="30"/>
  <c r="G25" i="30" s="1"/>
  <c r="H24" i="30" s="1"/>
  <c r="H25" i="30" s="1"/>
  <c r="I24" i="30" s="1"/>
  <c r="I25" i="30" s="1"/>
  <c r="J24" i="30" s="1"/>
  <c r="J25" i="30" s="1"/>
  <c r="K24" i="30" s="1"/>
  <c r="K25" i="30" s="1"/>
  <c r="E22" i="25"/>
  <c r="E23" i="25" s="1"/>
  <c r="E3" i="30"/>
  <c r="G31" i="30"/>
  <c r="G22" i="30" s="1"/>
  <c r="G26" i="30" s="1"/>
  <c r="B35" i="30"/>
  <c r="F24" i="25"/>
  <c r="G30" i="30" l="1"/>
  <c r="G29" i="30"/>
  <c r="H28" i="30" s="1"/>
  <c r="F19" i="25"/>
  <c r="F21" i="25" s="1"/>
  <c r="G33" i="30"/>
  <c r="G34" i="30" s="1"/>
  <c r="E26" i="25" s="1"/>
  <c r="E27" i="25" s="1"/>
  <c r="E29" i="25" s="1"/>
  <c r="G23" i="30"/>
  <c r="G24" i="25"/>
  <c r="H20" i="25"/>
  <c r="I35" i="25"/>
  <c r="I34" i="25"/>
  <c r="F18" i="25" l="1"/>
  <c r="H30" i="30"/>
  <c r="H29" i="30"/>
  <c r="I28" i="30" s="1"/>
  <c r="I20" i="25"/>
  <c r="I19" i="25" s="1"/>
  <c r="J19" i="25" s="1"/>
  <c r="H19" i="25"/>
  <c r="G19" i="25"/>
  <c r="G18" i="25" s="1"/>
  <c r="H31" i="30"/>
  <c r="H22" i="30" s="1"/>
  <c r="H26" i="30" s="1"/>
  <c r="H12" i="30"/>
  <c r="H24" i="25"/>
  <c r="G21" i="25"/>
  <c r="I33" i="25"/>
  <c r="I18" i="25" l="1"/>
  <c r="I21" i="25"/>
  <c r="I30" i="30"/>
  <c r="I29" i="30"/>
  <c r="J28" i="30" s="1"/>
  <c r="I24" i="25"/>
  <c r="H23" i="30"/>
  <c r="H33" i="30"/>
  <c r="H34" i="30" s="1"/>
  <c r="I31" i="30"/>
  <c r="I22" i="30" s="1"/>
  <c r="I26" i="30" s="1"/>
  <c r="I12" i="30"/>
  <c r="F3" i="30"/>
  <c r="H18" i="25"/>
  <c r="H21" i="25"/>
  <c r="I36" i="25"/>
  <c r="D28" i="25" s="1"/>
  <c r="J30" i="30" l="1"/>
  <c r="J29" i="30"/>
  <c r="K28" i="30" s="1"/>
  <c r="F26" i="25"/>
  <c r="I23" i="30"/>
  <c r="I33" i="30"/>
  <c r="I34" i="30" s="1"/>
  <c r="J31" i="30"/>
  <c r="J22" i="30" s="1"/>
  <c r="J26" i="30" s="1"/>
  <c r="J12" i="30"/>
  <c r="G3" i="30"/>
  <c r="D30" i="25"/>
  <c r="K30" i="30" l="1"/>
  <c r="K29" i="30"/>
  <c r="E30" i="25"/>
  <c r="G26" i="25"/>
  <c r="J23" i="30"/>
  <c r="J33" i="30"/>
  <c r="J34" i="30" s="1"/>
  <c r="K31" i="30"/>
  <c r="K22" i="30" s="1"/>
  <c r="K26" i="30" s="1"/>
  <c r="K12" i="30"/>
  <c r="H26" i="25" l="1"/>
  <c r="K23" i="30"/>
  <c r="K33" i="30"/>
  <c r="K34" i="30" s="1"/>
  <c r="I26" i="25" l="1"/>
  <c r="D4" i="30"/>
  <c r="D5" i="30" s="1"/>
  <c r="F22" i="25" s="1"/>
  <c r="E4" i="30"/>
  <c r="E5" i="30" s="1"/>
  <c r="G22" i="25" s="1"/>
  <c r="F4" i="30"/>
  <c r="F5" i="30" s="1"/>
  <c r="H22" i="25" s="1"/>
  <c r="H23" i="25" l="1"/>
  <c r="H27" i="25" s="1"/>
  <c r="G23" i="25"/>
  <c r="G27" i="25"/>
  <c r="F23" i="25"/>
  <c r="F27" i="25" s="1"/>
  <c r="G4" i="30"/>
  <c r="G5" i="30" s="1"/>
  <c r="I22" i="25" s="1"/>
  <c r="N20" i="25" l="1"/>
  <c r="I23" i="25"/>
  <c r="I27" i="25" s="1"/>
  <c r="I29" i="25" s="1"/>
  <c r="F29" i="25"/>
  <c r="F30" i="25"/>
  <c r="G29" i="25"/>
  <c r="G30" i="25"/>
  <c r="H29" i="25"/>
  <c r="H30" i="25"/>
  <c r="N19" i="25" l="1"/>
  <c r="I30" i="25"/>
  <c r="N21" i="25"/>
  <c r="J28" i="25" s="1"/>
  <c r="J29" i="25" s="1"/>
  <c r="D33" i="25" s="1"/>
  <c r="D36" i="25" s="1"/>
  <c r="D38" i="25" s="1"/>
  <c r="N38" i="25" s="1"/>
  <c r="J30" i="25" l="1"/>
  <c r="N34" i="25" s="1"/>
  <c r="N39" i="25" l="1"/>
  <c r="N12" i="25" s="1"/>
  <c r="O12" i="25" s="1"/>
  <c r="N33" i="25" l="1"/>
</calcChain>
</file>

<file path=xl/sharedStrings.xml><?xml version="1.0" encoding="utf-8"?>
<sst xmlns="http://schemas.openxmlformats.org/spreadsheetml/2006/main" count="156" uniqueCount="126">
  <si>
    <t>Change in NWC</t>
  </si>
  <si>
    <t>Equity</t>
  </si>
  <si>
    <t>Debt</t>
  </si>
  <si>
    <t>Equity Weight</t>
  </si>
  <si>
    <t>Debt Weight</t>
  </si>
  <si>
    <t>Market Risk Premium</t>
  </si>
  <si>
    <t>Beta</t>
  </si>
  <si>
    <t>Less volatile than the market</t>
  </si>
  <si>
    <t>Risk free rate</t>
  </si>
  <si>
    <t>10year German government bond</t>
  </si>
  <si>
    <t>Cost of equity</t>
  </si>
  <si>
    <t>CAPM</t>
  </si>
  <si>
    <t>Interest Expenses</t>
  </si>
  <si>
    <t>Cost of debt</t>
  </si>
  <si>
    <t>Corporate Tax Rate</t>
  </si>
  <si>
    <t>WACC</t>
  </si>
  <si>
    <t>Date</t>
  </si>
  <si>
    <t>SEK</t>
  </si>
  <si>
    <t>EBIT Forecast</t>
  </si>
  <si>
    <t>Item</t>
  </si>
  <si>
    <t>2024A</t>
  </si>
  <si>
    <t>2025E</t>
  </si>
  <si>
    <t>2026E</t>
  </si>
  <si>
    <t>2027E</t>
  </si>
  <si>
    <t>2028E</t>
  </si>
  <si>
    <t>2029E</t>
  </si>
  <si>
    <t>Revenue [tEUR Dec 2024]</t>
  </si>
  <si>
    <t>EBIT Margin %</t>
  </si>
  <si>
    <t>EBIT [tEUR Dec 2024]</t>
  </si>
  <si>
    <t>Revenue Growth</t>
  </si>
  <si>
    <t>Revenue Growth over 2023 [2024 Annual Report]</t>
  </si>
  <si>
    <t>Annual Margin Expansion</t>
  </si>
  <si>
    <t>inflation spikes</t>
  </si>
  <si>
    <t>Note: Colour Means Assumed</t>
  </si>
  <si>
    <t>D&amp;A Forecast: Assume Stable Growth</t>
  </si>
  <si>
    <t>Year</t>
  </si>
  <si>
    <t>2020A</t>
  </si>
  <si>
    <t>2021A</t>
  </si>
  <si>
    <t>2022A</t>
  </si>
  <si>
    <t>2023A</t>
  </si>
  <si>
    <t>Revenue [tEUR]</t>
  </si>
  <si>
    <t>Stable</t>
  </si>
  <si>
    <t>Capex [tEUR]</t>
  </si>
  <si>
    <t>Total D&amp;A [tEUR]</t>
  </si>
  <si>
    <t>Avg_Capex Growth rate</t>
  </si>
  <si>
    <t>Historical Growth Rate</t>
  </si>
  <si>
    <t>Avg_D&amp;A Growth rate</t>
  </si>
  <si>
    <t>NWC Forecast</t>
  </si>
  <si>
    <t>Current Assets</t>
  </si>
  <si>
    <t>Acounts Recievable [tEUR]</t>
  </si>
  <si>
    <t>Acounts Recievable Days</t>
  </si>
  <si>
    <t>Inventory [tEUR]</t>
  </si>
  <si>
    <t>-</t>
  </si>
  <si>
    <t>Inventory Days</t>
  </si>
  <si>
    <t>Total Current Assets [tEUR]</t>
  </si>
  <si>
    <t>Current Liabilities</t>
  </si>
  <si>
    <t>Acounts Payable [tEUR]</t>
  </si>
  <si>
    <t>Acounts Payable Days</t>
  </si>
  <si>
    <t>Total Current Liabilities [tEUR]</t>
  </si>
  <si>
    <t>COGS [tEUR]</t>
  </si>
  <si>
    <t>NWC [tEUR]</t>
  </si>
  <si>
    <t>_</t>
  </si>
  <si>
    <t>COGS Growth</t>
  </si>
  <si>
    <t>COGS Growth over 2023 [2024 Annual Report]</t>
  </si>
  <si>
    <t>DCF Model</t>
  </si>
  <si>
    <t>Assumptions</t>
  </si>
  <si>
    <t>Rational</t>
  </si>
  <si>
    <t>Tax Rate</t>
  </si>
  <si>
    <t xml:space="preserve"> Average of the corporate tax rates in the countries in which Loomis has significant business operations.</t>
  </si>
  <si>
    <t>Discount Rate</t>
  </si>
  <si>
    <t xml:space="preserve">Calculated using WACC </t>
  </si>
  <si>
    <t>Perpetural Growth Rate</t>
  </si>
  <si>
    <t>Conservative; aligns with long-term inflation + modest cash usage decline. Avoid &gt;3% (overly optimistic).</t>
  </si>
  <si>
    <t>EV/EBITDA Mulltiple</t>
  </si>
  <si>
    <t>Transaction Date</t>
  </si>
  <si>
    <t>Data Extraction Date</t>
  </si>
  <si>
    <t>Fiscal Year End</t>
  </si>
  <si>
    <t>Latest Reported Annual Fiscal Year End</t>
  </si>
  <si>
    <t>Current Price [EUR]</t>
  </si>
  <si>
    <t>CapIQ Close Price 16 Mar 2025</t>
  </si>
  <si>
    <t>Shares Outstanding [tEUR]</t>
  </si>
  <si>
    <t>Ranges for Football Field</t>
  </si>
  <si>
    <t>EUR</t>
  </si>
  <si>
    <t>ST Borrowings [tEUR Mar 31]</t>
  </si>
  <si>
    <t>High [DCF intrinsic]</t>
  </si>
  <si>
    <t>LT Debt [tEUR Mar 31]</t>
  </si>
  <si>
    <t>Market Price</t>
  </si>
  <si>
    <t>Debt [tEUR Mar 31]</t>
  </si>
  <si>
    <t>Low [25%]</t>
  </si>
  <si>
    <t>Cash [tEUR Mar 31]</t>
  </si>
  <si>
    <t>Margin of safety</t>
  </si>
  <si>
    <t>Capex</t>
  </si>
  <si>
    <t>5–7% of Revenue</t>
  </si>
  <si>
    <t>Discounted Cash Flow</t>
  </si>
  <si>
    <t>Entry</t>
  </si>
  <si>
    <t>Exit</t>
  </si>
  <si>
    <t>Terminal Value</t>
  </si>
  <si>
    <t>Perpetural Growth</t>
  </si>
  <si>
    <t>Time Periods</t>
  </si>
  <si>
    <t>EV/EBITDA</t>
  </si>
  <si>
    <t>Year Fraction</t>
  </si>
  <si>
    <t>Average</t>
  </si>
  <si>
    <t>EBIT [tEUR]</t>
  </si>
  <si>
    <t>Less: Cash Taxes</t>
  </si>
  <si>
    <t>Plus: D&amp;A</t>
  </si>
  <si>
    <t>Less: Capex</t>
  </si>
  <si>
    <t>Less: Changes in NWC</t>
  </si>
  <si>
    <t>Unlevered FCF</t>
  </si>
  <si>
    <t>(Entry)/Exit</t>
  </si>
  <si>
    <t>Transaction CF</t>
  </si>
  <si>
    <t>Intrinsic Value</t>
  </si>
  <si>
    <t>Market Value</t>
  </si>
  <si>
    <t>Rate of Return</t>
  </si>
  <si>
    <t>Enterprise Value</t>
  </si>
  <si>
    <t>Market Cap</t>
  </si>
  <si>
    <t>Target Price Upside</t>
  </si>
  <si>
    <t>Plus: Cash</t>
  </si>
  <si>
    <t>Plus: Debt</t>
  </si>
  <si>
    <t>Internal Rate of Return (IRR)</t>
  </si>
  <si>
    <t>Less: Debt</t>
  </si>
  <si>
    <t>Less: Cash</t>
  </si>
  <si>
    <t>Equity Value</t>
  </si>
  <si>
    <t>Market Value vs Intrinsic Value</t>
  </si>
  <si>
    <t>Equity Value/Share</t>
  </si>
  <si>
    <t>Upside</t>
  </si>
  <si>
    <t>5,00x From Comparables Analysis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</si>
</sst>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3" formatCode="_-* #,##0.00_-;\-* #,##0.00_-;_-* &quot;-&quot;??_-;_-@_-"/>
    <numFmt numFmtId="164" formatCode="_(* #,##0.00_);_(* \(#,##0.00\);_(* &quot;-&quot;??_);_(@_)"/>
    <numFmt numFmtId="165" formatCode="_-* #,##0_-;\(#,##0\)_-;_-* &quot;-&quot;_-;_-@_-"/>
    <numFmt numFmtId="166" formatCode="_(* #,##0_);_(* \(#,##0\);_(* &quot;-&quot;??_);_(@_)"/>
    <numFmt numFmtId="167" formatCode="0.0\x"/>
    <numFmt numFmtId="168" formatCode="_-* #,##0.00_-;\(#,##0.00\)_-;_-* &quot;-&quot;_-;_-@_-"/>
    <numFmt numFmtId="169" formatCode="_-* #,##0.00\ [$€-1]_-;\-* #,##0.00\ [$€-1]_-;_-* &quot;-&quot;??\ [$€-1]_-;_-@_-"/>
    <numFmt numFmtId="170" formatCode="0.0%"/>
    <numFmt numFmtId="171" formatCode="0.0000%"/>
    <numFmt numFmtId="172" formatCode="_(* #,##0.000_);_(* \(#,##0.000\);_(* &quot;-&quot;??_);_(@_)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Arial Narrow"/>
      <family val="2"/>
    </font>
    <font>
      <sz val="12"/>
      <color theme="1"/>
      <name val="Open Sans"/>
      <family val="2"/>
    </font>
    <font>
      <b/>
      <sz val="10"/>
      <color theme="0"/>
      <name val="Open Sans"/>
      <family val="2"/>
    </font>
    <font>
      <b/>
      <sz val="11"/>
      <color theme="0"/>
      <name val="Open Sans"/>
      <family val="2"/>
    </font>
    <font>
      <sz val="10"/>
      <color theme="1"/>
      <name val="Open Sans"/>
      <family val="2"/>
    </font>
    <font>
      <b/>
      <sz val="10"/>
      <color theme="1"/>
      <name val="Open Sans"/>
      <family val="2"/>
    </font>
    <font>
      <sz val="10"/>
      <color rgb="FF0000FF"/>
      <name val="Open Sans"/>
      <family val="2"/>
    </font>
    <font>
      <sz val="10"/>
      <name val="Open Sans"/>
      <family val="2"/>
    </font>
    <font>
      <i/>
      <sz val="10"/>
      <color theme="1"/>
      <name val="Open Sans"/>
      <family val="2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0"/>
      <color rgb="FF0000FF"/>
      <name val="Open Sans"/>
      <family val="2"/>
    </font>
    <font>
      <i/>
      <sz val="10"/>
      <name val="Open Sans"/>
      <family val="2"/>
    </font>
    <font>
      <u/>
      <sz val="10"/>
      <color theme="10"/>
      <name val="Arial"/>
      <family val="2"/>
    </font>
    <font>
      <sz val="10"/>
      <color rgb="FF000000"/>
      <name val="Calibri"/>
      <family val="2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b/>
      <sz val="11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0"/>
      <color rgb="FF0000FF"/>
      <name val="Open Sans"/>
      <charset val="1"/>
    </font>
    <font>
      <sz val="10"/>
      <color rgb="FF0000FF"/>
      <name val="Times New Roman"/>
      <family val="1"/>
    </font>
    <font>
      <sz val="10"/>
      <color theme="0"/>
      <name val="Open Sans"/>
      <family val="2"/>
    </font>
  </fonts>
  <fills count="7">
    <fill>
      <patternFill patternType="none"/>
    </fill>
    <fill>
      <patternFill patternType="gray125"/>
    </fill>
    <fill>
      <patternFill patternType="solid">
        <fgColor theme="2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1"/>
        <bgColor indexed="64"/>
      </patternFill>
    </fill>
  </fills>
  <borders count="39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0000"/>
      </top>
      <bottom style="double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double">
        <color rgb="FF000000"/>
      </bottom>
      <diagonal/>
    </border>
    <border>
      <left/>
      <right/>
      <top style="medium">
        <color rgb="FF000000"/>
      </top>
      <bottom style="double">
        <color rgb="FF000000"/>
      </bottom>
      <diagonal/>
    </border>
    <border>
      <left/>
      <right style="medium">
        <color rgb="FF000000"/>
      </right>
      <top style="medium">
        <color rgb="FF000000"/>
      </top>
      <bottom style="double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D5D8DB"/>
      </right>
      <top style="thin">
        <color rgb="FFD5D8DB"/>
      </top>
      <bottom style="thin">
        <color rgb="FFD5D8DB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</borders>
  <cellStyleXfs count="8">
    <xf numFmtId="0" fontId="0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2" fillId="0" borderId="0" applyNumberFormat="0" applyFill="0" applyBorder="0" applyAlignment="0" applyProtection="0"/>
    <xf numFmtId="0" fontId="2" fillId="0" borderId="0"/>
    <xf numFmtId="0" fontId="16" fillId="0" borderId="0" applyNumberFormat="0" applyFill="0" applyBorder="0" applyAlignment="0" applyProtection="0"/>
    <xf numFmtId="0" fontId="2" fillId="0" borderId="0"/>
    <xf numFmtId="0" fontId="12" fillId="0" borderId="0" applyNumberFormat="0" applyFill="0" applyBorder="0" applyAlignment="0" applyProtection="0"/>
  </cellStyleXfs>
  <cellXfs count="135">
    <xf numFmtId="0" fontId="0" fillId="0" borderId="0" xfId="0"/>
    <xf numFmtId="165" fontId="3" fillId="0" borderId="0" xfId="1" applyNumberFormat="1" applyFont="1"/>
    <xf numFmtId="165" fontId="3" fillId="0" borderId="0" xfId="1" applyNumberFormat="1" applyFont="1" applyAlignment="1">
      <alignment horizontal="center"/>
    </xf>
    <xf numFmtId="165" fontId="7" fillId="0" borderId="0" xfId="1" applyNumberFormat="1" applyFont="1"/>
    <xf numFmtId="165" fontId="8" fillId="0" borderId="0" xfId="1" applyNumberFormat="1" applyFont="1"/>
    <xf numFmtId="165" fontId="7" fillId="0" borderId="0" xfId="1" applyNumberFormat="1" applyFont="1" applyAlignment="1">
      <alignment horizontal="center"/>
    </xf>
    <xf numFmtId="165" fontId="9" fillId="0" borderId="0" xfId="1" applyNumberFormat="1" applyFont="1"/>
    <xf numFmtId="165" fontId="10" fillId="0" borderId="0" xfId="1" applyNumberFormat="1" applyFont="1"/>
    <xf numFmtId="167" fontId="9" fillId="0" borderId="0" xfId="1" applyNumberFormat="1" applyFont="1" applyAlignment="1">
      <alignment horizontal="right"/>
    </xf>
    <xf numFmtId="14" fontId="9" fillId="0" borderId="0" xfId="1" applyNumberFormat="1" applyFont="1"/>
    <xf numFmtId="165" fontId="7" fillId="0" borderId="1" xfId="1" applyNumberFormat="1" applyFont="1" applyBorder="1"/>
    <xf numFmtId="165" fontId="7" fillId="0" borderId="0" xfId="1" applyNumberFormat="1" applyFont="1" applyBorder="1"/>
    <xf numFmtId="166" fontId="7" fillId="0" borderId="0" xfId="1" applyNumberFormat="1" applyFont="1"/>
    <xf numFmtId="165" fontId="9" fillId="0" borderId="0" xfId="1" applyNumberFormat="1" applyFont="1" applyBorder="1"/>
    <xf numFmtId="166" fontId="9" fillId="0" borderId="0" xfId="1" applyNumberFormat="1" applyFont="1"/>
    <xf numFmtId="165" fontId="7" fillId="0" borderId="0" xfId="1" applyNumberFormat="1" applyFont="1" applyFill="1"/>
    <xf numFmtId="9" fontId="7" fillId="0" borderId="0" xfId="2" applyFont="1"/>
    <xf numFmtId="168" fontId="7" fillId="0" borderId="0" xfId="1" applyNumberFormat="1" applyFont="1"/>
    <xf numFmtId="0" fontId="13" fillId="0" borderId="0" xfId="0" applyFont="1"/>
    <xf numFmtId="43" fontId="11" fillId="0" borderId="0" xfId="1" applyFont="1" applyBorder="1"/>
    <xf numFmtId="165" fontId="11" fillId="0" borderId="0" xfId="1" applyNumberFormat="1" applyFont="1"/>
    <xf numFmtId="165" fontId="10" fillId="0" borderId="0" xfId="1" applyNumberFormat="1" applyFont="1" applyBorder="1"/>
    <xf numFmtId="14" fontId="9" fillId="0" borderId="0" xfId="1" applyNumberFormat="1" applyFont="1" applyFill="1"/>
    <xf numFmtId="14" fontId="11" fillId="0" borderId="0" xfId="1" applyNumberFormat="1" applyFont="1" applyBorder="1"/>
    <xf numFmtId="14" fontId="11" fillId="0" borderId="0" xfId="1" applyNumberFormat="1" applyFont="1" applyFill="1" applyBorder="1"/>
    <xf numFmtId="165" fontId="11" fillId="0" borderId="0" xfId="1" applyNumberFormat="1" applyFont="1" applyBorder="1"/>
    <xf numFmtId="1" fontId="11" fillId="0" borderId="0" xfId="1" applyNumberFormat="1" applyFont="1"/>
    <xf numFmtId="1" fontId="14" fillId="0" borderId="0" xfId="1" applyNumberFormat="1" applyFont="1"/>
    <xf numFmtId="14" fontId="15" fillId="0" borderId="0" xfId="1" applyNumberFormat="1" applyFont="1" applyBorder="1"/>
    <xf numFmtId="9" fontId="7" fillId="0" borderId="0" xfId="2" applyFont="1" applyBorder="1"/>
    <xf numFmtId="0" fontId="13" fillId="0" borderId="0" xfId="0" applyFont="1" applyAlignment="1">
      <alignment horizontal="right"/>
    </xf>
    <xf numFmtId="0" fontId="0" fillId="0" borderId="9" xfId="0" applyBorder="1"/>
    <xf numFmtId="0" fontId="0" fillId="0" borderId="11" xfId="0" applyBorder="1"/>
    <xf numFmtId="170" fontId="9" fillId="0" borderId="0" xfId="2" applyNumberFormat="1" applyFont="1" applyAlignment="1">
      <alignment horizontal="right"/>
    </xf>
    <xf numFmtId="169" fontId="9" fillId="0" borderId="0" xfId="1" applyNumberFormat="1" applyFont="1" applyAlignment="1">
      <alignment horizontal="right"/>
    </xf>
    <xf numFmtId="165" fontId="7" fillId="3" borderId="0" xfId="1" applyNumberFormat="1" applyFont="1" applyFill="1"/>
    <xf numFmtId="165" fontId="10" fillId="3" borderId="0" xfId="1" applyNumberFormat="1" applyFont="1" applyFill="1"/>
    <xf numFmtId="170" fontId="9" fillId="3" borderId="0" xfId="2" applyNumberFormat="1" applyFont="1" applyFill="1" applyAlignment="1">
      <alignment horizontal="right"/>
    </xf>
    <xf numFmtId="170" fontId="9" fillId="0" borderId="0" xfId="2" applyNumberFormat="1" applyFont="1" applyBorder="1" applyAlignment="1">
      <alignment horizontal="right"/>
    </xf>
    <xf numFmtId="0" fontId="0" fillId="0" borderId="13" xfId="0" applyBorder="1"/>
    <xf numFmtId="10" fontId="0" fillId="0" borderId="13" xfId="0" applyNumberFormat="1" applyBorder="1"/>
    <xf numFmtId="0" fontId="18" fillId="0" borderId="8" xfId="0" applyFont="1" applyBorder="1"/>
    <xf numFmtId="10" fontId="0" fillId="0" borderId="0" xfId="0" applyNumberFormat="1"/>
    <xf numFmtId="10" fontId="0" fillId="0" borderId="9" xfId="0" applyNumberFormat="1" applyBorder="1"/>
    <xf numFmtId="2" fontId="0" fillId="0" borderId="0" xfId="0" applyNumberFormat="1"/>
    <xf numFmtId="2" fontId="0" fillId="0" borderId="9" xfId="0" applyNumberFormat="1" applyBorder="1"/>
    <xf numFmtId="0" fontId="18" fillId="0" borderId="10" xfId="0" applyFont="1" applyBorder="1"/>
    <xf numFmtId="0" fontId="0" fillId="0" borderId="4" xfId="0" applyBorder="1"/>
    <xf numFmtId="2" fontId="0" fillId="0" borderId="13" xfId="0" applyNumberFormat="1" applyBorder="1"/>
    <xf numFmtId="2" fontId="0" fillId="0" borderId="18" xfId="0" applyNumberFormat="1" applyBorder="1"/>
    <xf numFmtId="2" fontId="0" fillId="0" borderId="19" xfId="0" applyNumberFormat="1" applyBorder="1"/>
    <xf numFmtId="0" fontId="0" fillId="0" borderId="20" xfId="0" applyBorder="1"/>
    <xf numFmtId="0" fontId="18" fillId="0" borderId="21" xfId="0" applyFont="1" applyBorder="1"/>
    <xf numFmtId="0" fontId="0" fillId="4" borderId="0" xfId="0" applyFill="1"/>
    <xf numFmtId="10" fontId="0" fillId="0" borderId="22" xfId="0" applyNumberFormat="1" applyBorder="1"/>
    <xf numFmtId="0" fontId="18" fillId="0" borderId="17" xfId="0" applyFont="1" applyBorder="1"/>
    <xf numFmtId="0" fontId="22" fillId="0" borderId="0" xfId="0" applyFont="1" applyAlignment="1">
      <alignment readingOrder="1"/>
    </xf>
    <xf numFmtId="10" fontId="0" fillId="4" borderId="16" xfId="0" applyNumberFormat="1" applyFill="1" applyBorder="1"/>
    <xf numFmtId="9" fontId="0" fillId="0" borderId="4" xfId="0" applyNumberFormat="1" applyBorder="1"/>
    <xf numFmtId="9" fontId="0" fillId="0" borderId="0" xfId="0" applyNumberFormat="1"/>
    <xf numFmtId="0" fontId="18" fillId="3" borderId="10" xfId="0" applyFont="1" applyFill="1" applyBorder="1"/>
    <xf numFmtId="0" fontId="1" fillId="0" borderId="22" xfId="0" applyFont="1" applyBorder="1"/>
    <xf numFmtId="0" fontId="1" fillId="0" borderId="20" xfId="0" applyFont="1" applyBorder="1"/>
    <xf numFmtId="2" fontId="1" fillId="0" borderId="20" xfId="0" applyNumberFormat="1" applyFont="1" applyBorder="1"/>
    <xf numFmtId="2" fontId="1" fillId="0" borderId="23" xfId="0" applyNumberFormat="1" applyFont="1" applyBorder="1"/>
    <xf numFmtId="0" fontId="1" fillId="0" borderId="0" xfId="0" applyFont="1"/>
    <xf numFmtId="0" fontId="1" fillId="0" borderId="13" xfId="0" applyFont="1" applyBorder="1"/>
    <xf numFmtId="2" fontId="1" fillId="0" borderId="0" xfId="0" applyNumberFormat="1" applyFont="1"/>
    <xf numFmtId="2" fontId="1" fillId="0" borderId="9" xfId="0" applyNumberFormat="1" applyFont="1" applyBorder="1"/>
    <xf numFmtId="0" fontId="1" fillId="0" borderId="18" xfId="0" applyFont="1" applyBorder="1"/>
    <xf numFmtId="2" fontId="1" fillId="0" borderId="12" xfId="0" applyNumberFormat="1" applyFont="1" applyBorder="1"/>
    <xf numFmtId="2" fontId="1" fillId="0" borderId="18" xfId="0" applyNumberFormat="1" applyFont="1" applyBorder="1"/>
    <xf numFmtId="2" fontId="1" fillId="0" borderId="19" xfId="0" applyNumberFormat="1" applyFont="1" applyBorder="1"/>
    <xf numFmtId="3" fontId="17" fillId="0" borderId="27" xfId="0" applyNumberFormat="1" applyFont="1" applyBorder="1" applyAlignment="1">
      <alignment horizontal="right" vertical="center" wrapText="1"/>
    </xf>
    <xf numFmtId="0" fontId="12" fillId="0" borderId="0" xfId="7"/>
    <xf numFmtId="0" fontId="18" fillId="3" borderId="17" xfId="0" applyFont="1" applyFill="1" applyBorder="1"/>
    <xf numFmtId="0" fontId="19" fillId="0" borderId="8" xfId="0" applyFont="1" applyBorder="1"/>
    <xf numFmtId="0" fontId="20" fillId="5" borderId="0" xfId="0" applyFont="1" applyFill="1"/>
    <xf numFmtId="2" fontId="0" fillId="0" borderId="4" xfId="0" applyNumberFormat="1" applyBorder="1"/>
    <xf numFmtId="2" fontId="0" fillId="0" borderId="11" xfId="0" applyNumberFormat="1" applyBorder="1"/>
    <xf numFmtId="0" fontId="21" fillId="5" borderId="17" xfId="0" applyFont="1" applyFill="1" applyBorder="1"/>
    <xf numFmtId="0" fontId="20" fillId="5" borderId="8" xfId="0" applyFont="1" applyFill="1" applyBorder="1"/>
    <xf numFmtId="171" fontId="0" fillId="0" borderId="0" xfId="0" applyNumberFormat="1"/>
    <xf numFmtId="0" fontId="20" fillId="5" borderId="3" xfId="0" applyFont="1" applyFill="1" applyBorder="1"/>
    <xf numFmtId="171" fontId="0" fillId="0" borderId="4" xfId="0" applyNumberFormat="1" applyBorder="1"/>
    <xf numFmtId="0" fontId="0" fillId="0" borderId="16" xfId="0" applyBorder="1"/>
    <xf numFmtId="0" fontId="19" fillId="0" borderId="17" xfId="0" applyFont="1" applyBorder="1"/>
    <xf numFmtId="0" fontId="0" fillId="0" borderId="18" xfId="0" applyBorder="1"/>
    <xf numFmtId="2" fontId="0" fillId="0" borderId="12" xfId="0" applyNumberFormat="1" applyBorder="1"/>
    <xf numFmtId="0" fontId="18" fillId="0" borderId="15" xfId="0" applyFont="1" applyBorder="1"/>
    <xf numFmtId="0" fontId="0" fillId="0" borderId="2" xfId="0" applyBorder="1"/>
    <xf numFmtId="0" fontId="0" fillId="0" borderId="14" xfId="0" applyBorder="1"/>
    <xf numFmtId="2" fontId="0" fillId="0" borderId="2" xfId="0" applyNumberFormat="1" applyBorder="1"/>
    <xf numFmtId="2" fontId="0" fillId="0" borderId="14" xfId="0" applyNumberFormat="1" applyBorder="1"/>
    <xf numFmtId="0" fontId="21" fillId="2" borderId="18" xfId="0" applyFont="1" applyFill="1" applyBorder="1"/>
    <xf numFmtId="0" fontId="21" fillId="2" borderId="19" xfId="0" applyFont="1" applyFill="1" applyBorder="1"/>
    <xf numFmtId="0" fontId="21" fillId="2" borderId="0" xfId="0" applyFont="1" applyFill="1"/>
    <xf numFmtId="0" fontId="21" fillId="2" borderId="9" xfId="0" applyFont="1" applyFill="1" applyBorder="1"/>
    <xf numFmtId="0" fontId="20" fillId="5" borderId="13" xfId="0" applyFont="1" applyFill="1" applyBorder="1"/>
    <xf numFmtId="0" fontId="21" fillId="5" borderId="12" xfId="0" applyFont="1" applyFill="1" applyBorder="1"/>
    <xf numFmtId="0" fontId="18" fillId="0" borderId="24" xfId="0" applyFont="1" applyBorder="1" applyAlignment="1">
      <alignment horizontal="center"/>
    </xf>
    <xf numFmtId="0" fontId="18" fillId="0" borderId="25" xfId="0" applyFont="1" applyBorder="1" applyAlignment="1">
      <alignment horizontal="center"/>
    </xf>
    <xf numFmtId="0" fontId="18" fillId="0" borderId="26" xfId="0" applyFont="1" applyBorder="1" applyAlignment="1">
      <alignment horizontal="center"/>
    </xf>
    <xf numFmtId="0" fontId="21" fillId="6" borderId="5" xfId="0" applyFont="1" applyFill="1" applyBorder="1" applyAlignment="1">
      <alignment horizontal="center"/>
    </xf>
    <xf numFmtId="0" fontId="21" fillId="6" borderId="6" xfId="0" applyFont="1" applyFill="1" applyBorder="1" applyAlignment="1">
      <alignment horizontal="center"/>
    </xf>
    <xf numFmtId="0" fontId="21" fillId="6" borderId="7" xfId="0" applyFont="1" applyFill="1" applyBorder="1" applyAlignment="1">
      <alignment horizontal="center"/>
    </xf>
    <xf numFmtId="0" fontId="20" fillId="6" borderId="5" xfId="0" applyFont="1" applyFill="1" applyBorder="1" applyAlignment="1">
      <alignment horizontal="center"/>
    </xf>
    <xf numFmtId="0" fontId="20" fillId="6" borderId="6" xfId="0" applyFont="1" applyFill="1" applyBorder="1" applyAlignment="1">
      <alignment horizontal="center"/>
    </xf>
    <xf numFmtId="0" fontId="20" fillId="6" borderId="7" xfId="0" applyFont="1" applyFill="1" applyBorder="1" applyAlignment="1">
      <alignment horizontal="center"/>
    </xf>
    <xf numFmtId="0" fontId="20" fillId="6" borderId="29" xfId="0" applyFont="1" applyFill="1" applyBorder="1" applyAlignment="1">
      <alignment horizontal="center"/>
    </xf>
    <xf numFmtId="0" fontId="20" fillId="6" borderId="30" xfId="0" applyFont="1" applyFill="1" applyBorder="1" applyAlignment="1">
      <alignment horizontal="center"/>
    </xf>
    <xf numFmtId="0" fontId="20" fillId="6" borderId="28" xfId="0" applyFont="1" applyFill="1" applyBorder="1" applyAlignment="1">
      <alignment horizontal="center"/>
    </xf>
    <xf numFmtId="0" fontId="23" fillId="0" borderId="0" xfId="0" applyFont="1"/>
    <xf numFmtId="165" fontId="9" fillId="0" borderId="0" xfId="1" applyNumberFormat="1" applyFont="1" applyAlignment="1"/>
    <xf numFmtId="165" fontId="5" fillId="5" borderId="0" xfId="1" applyNumberFormat="1" applyFont="1" applyFill="1" applyBorder="1"/>
    <xf numFmtId="165" fontId="24" fillId="5" borderId="0" xfId="1" applyNumberFormat="1" applyFont="1" applyFill="1" applyBorder="1"/>
    <xf numFmtId="165" fontId="24" fillId="5" borderId="0" xfId="1" applyNumberFormat="1" applyFont="1" applyFill="1"/>
    <xf numFmtId="165" fontId="5" fillId="5" borderId="0" xfId="1" applyNumberFormat="1" applyFont="1" applyFill="1" applyBorder="1" applyAlignment="1">
      <alignment horizontal="right"/>
    </xf>
    <xf numFmtId="0" fontId="5" fillId="5" borderId="0" xfId="1" applyNumberFormat="1" applyFont="1" applyFill="1" applyBorder="1"/>
    <xf numFmtId="165" fontId="4" fillId="5" borderId="0" xfId="1" applyNumberFormat="1" applyFont="1" applyFill="1"/>
    <xf numFmtId="0" fontId="5" fillId="5" borderId="0" xfId="0" applyFont="1" applyFill="1" applyAlignment="1">
      <alignment vertical="center"/>
    </xf>
    <xf numFmtId="0" fontId="6" fillId="5" borderId="0" xfId="0" applyFont="1" applyFill="1"/>
    <xf numFmtId="165" fontId="4" fillId="5" borderId="0" xfId="1" applyNumberFormat="1" applyFont="1" applyFill="1" applyAlignment="1">
      <alignment horizontal="center"/>
    </xf>
    <xf numFmtId="0" fontId="18" fillId="0" borderId="31" xfId="0" applyFont="1" applyBorder="1"/>
    <xf numFmtId="164" fontId="0" fillId="0" borderId="32" xfId="0" applyNumberFormat="1" applyBorder="1"/>
    <xf numFmtId="0" fontId="18" fillId="0" borderId="33" xfId="0" applyFont="1" applyBorder="1"/>
    <xf numFmtId="164" fontId="0" fillId="0" borderId="34" xfId="0" applyNumberFormat="1" applyBorder="1"/>
    <xf numFmtId="172" fontId="0" fillId="0" borderId="34" xfId="0" applyNumberFormat="1" applyBorder="1"/>
    <xf numFmtId="10" fontId="0" fillId="0" borderId="34" xfId="0" applyNumberFormat="1" applyBorder="1"/>
    <xf numFmtId="0" fontId="0" fillId="0" borderId="34" xfId="0" applyBorder="1"/>
    <xf numFmtId="10" fontId="0" fillId="0" borderId="34" xfId="2" applyNumberFormat="1" applyFont="1" applyBorder="1"/>
    <xf numFmtId="0" fontId="18" fillId="0" borderId="35" xfId="0" applyFont="1" applyBorder="1"/>
    <xf numFmtId="0" fontId="18" fillId="0" borderId="37" xfId="0" applyFont="1" applyBorder="1"/>
    <xf numFmtId="10" fontId="0" fillId="0" borderId="38" xfId="0" applyNumberFormat="1" applyBorder="1"/>
    <xf numFmtId="10" fontId="18" fillId="0" borderId="36" xfId="2" applyNumberFormat="1" applyFont="1" applyBorder="1"/>
  </cellXfs>
  <cellStyles count="8">
    <cellStyle name="Comma" xfId="1" builtinId="3"/>
    <cellStyle name="Hyperlink" xfId="7" builtinId="8"/>
    <cellStyle name="Hyperlink 2" xfId="5" xr:uid="{00000000-0005-0000-0000-000002000000}"/>
    <cellStyle name="Hyperlink 3" xfId="3" xr:uid="{00000000-0005-0000-0000-000003000000}"/>
    <cellStyle name="Normal" xfId="0" builtinId="0"/>
    <cellStyle name="Normal 2" xfId="4" xr:uid="{00000000-0005-0000-0000-000005000000}"/>
    <cellStyle name="Normal 2 2 2" xfId="6" xr:uid="{65687AD3-88B9-461F-8736-3AEEF1815662}"/>
    <cellStyle name="Per cent" xfId="2" builtinId="5"/>
  </cellStyles>
  <dxfs count="0"/>
  <tableStyles count="0" defaultTableStyle="TableStyleMedium2" defaultPivotStyle="PivotStyleLight16"/>
  <colors>
    <mruColors>
      <color rgb="FF9BEDFA"/>
      <color rgb="FF2EE0FF"/>
      <color rgb="FFFC1258"/>
      <color rgb="FFFC749D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Ex1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Open Sans" panose="020B0606030504020204" pitchFamily="34" charset="0"/>
                <a:ea typeface="Open Sans" panose="020B0606030504020204" pitchFamily="34" charset="0"/>
                <a:cs typeface="Open Sans" panose="020B0606030504020204" pitchFamily="34" charset="0"/>
              </a:defRPr>
            </a:pPr>
            <a:r>
              <a:rPr lang="en-US" sz="1200" b="0"/>
              <a:t>Cash Flow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Open Sans" panose="020B0606030504020204" pitchFamily="34" charset="0"/>
              <a:ea typeface="Open Sans" panose="020B0606030504020204" pitchFamily="34" charset="0"/>
              <a:cs typeface="Open Sans" panose="020B0606030504020204" pitchFamily="34" charset="0"/>
            </a:defRPr>
          </a:pPr>
          <a:endParaRPr lang="en-S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bg2"/>
            </a:solidFill>
            <a:ln>
              <a:noFill/>
            </a:ln>
            <a:effectLst/>
          </c:spPr>
          <c:invertIfNegative val="0"/>
          <c:dLbls>
            <c:numFmt formatCode="&quot;$&quot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bg2"/>
                    </a:solidFill>
                    <a:latin typeface="Open Sans" panose="020B0606030504020204" pitchFamily="34" charset="0"/>
                    <a:ea typeface="Open Sans" panose="020B0606030504020204" pitchFamily="34" charset="0"/>
                    <a:cs typeface="Open Sans" panose="020B0606030504020204" pitchFamily="34" charset="0"/>
                  </a:defRPr>
                </a:pPr>
                <a:endParaRPr lang="en-S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'DCF Model'!$E$19:$I$19</c:f>
              <c:numCache>
                <c:formatCode>m/d/yy</c:formatCode>
                <c:ptCount val="5"/>
                <c:pt idx="0">
                  <c:v>46022</c:v>
                </c:pt>
                <c:pt idx="1">
                  <c:v>46387</c:v>
                </c:pt>
                <c:pt idx="2">
                  <c:v>46752</c:v>
                </c:pt>
                <c:pt idx="3">
                  <c:v>47118</c:v>
                </c:pt>
                <c:pt idx="4">
                  <c:v>47483</c:v>
                </c:pt>
              </c:numCache>
            </c:numRef>
          </c:cat>
          <c:val>
            <c:numRef>
              <c:f>'DCF Model'!$E$29:$I$29</c:f>
              <c:numCache>
                <c:formatCode>_-* #\ ##0_-;\(#\ ##0\)_-;_-* "-"_-;_-@_-</c:formatCode>
                <c:ptCount val="5"/>
                <c:pt idx="0">
                  <c:v>134848.99878473236</c:v>
                </c:pt>
                <c:pt idx="1">
                  <c:v>175885.42492492052</c:v>
                </c:pt>
                <c:pt idx="2">
                  <c:v>171762.84936971948</c:v>
                </c:pt>
                <c:pt idx="3">
                  <c:v>184941.50185994609</c:v>
                </c:pt>
                <c:pt idx="4">
                  <c:v>207148.0635915407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D0A-4754-B867-94CF948CED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-27"/>
        <c:axId val="542849320"/>
        <c:axId val="542849648"/>
      </c:barChart>
      <c:dateAx>
        <c:axId val="542849320"/>
        <c:scaling>
          <c:orientation val="minMax"/>
        </c:scaling>
        <c:delete val="0"/>
        <c:axPos val="b"/>
        <c:numFmt formatCode="yyyy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Open Sans" panose="020B0606030504020204" pitchFamily="34" charset="0"/>
                <a:ea typeface="Open Sans" panose="020B0606030504020204" pitchFamily="34" charset="0"/>
                <a:cs typeface="Open Sans" panose="020B0606030504020204" pitchFamily="34" charset="0"/>
              </a:defRPr>
            </a:pPr>
            <a:endParaRPr lang="en-SE"/>
          </a:p>
        </c:txPr>
        <c:crossAx val="542849648"/>
        <c:crosses val="autoZero"/>
        <c:auto val="1"/>
        <c:lblOffset val="100"/>
        <c:baseTimeUnit val="years"/>
        <c:majorUnit val="1"/>
        <c:majorTimeUnit val="years"/>
        <c:minorUnit val="1"/>
        <c:minorTimeUnit val="years"/>
      </c:dateAx>
      <c:valAx>
        <c:axId val="542849648"/>
        <c:scaling>
          <c:orientation val="minMax"/>
        </c:scaling>
        <c:delete val="0"/>
        <c:axPos val="l"/>
        <c:numFmt formatCode="&quot;$&quot;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Open Sans" panose="020B0606030504020204" pitchFamily="34" charset="0"/>
                <a:ea typeface="Open Sans" panose="020B0606030504020204" pitchFamily="34" charset="0"/>
                <a:cs typeface="Open Sans" panose="020B0606030504020204" pitchFamily="34" charset="0"/>
              </a:defRPr>
            </a:pPr>
            <a:endParaRPr lang="en-SE"/>
          </a:p>
        </c:txPr>
        <c:crossAx val="5428493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latin typeface="Open Sans" panose="020B0606030504020204" pitchFamily="34" charset="0"/>
          <a:ea typeface="Open Sans" panose="020B0606030504020204" pitchFamily="34" charset="0"/>
          <a:cs typeface="Open Sans" panose="020B0606030504020204" pitchFamily="34" charset="0"/>
        </a:defRPr>
      </a:pPr>
      <a:endParaRPr lang="en-SE"/>
    </a:p>
  </c:txPr>
  <c:printSettings>
    <c:headerFooter/>
    <c:pageMargins b="0.75" l="0.7" r="0.7" t="0.75" header="0.3" footer="0.3"/>
    <c:pageSetup/>
  </c:printSettings>
</c:chartSpace>
</file>

<file path=xl/charts/chartEx1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>_xlchart.v1.4</cx:f>
      </cx:strDim>
      <cx:numDim type="val">
        <cx:f>_xlchart.v1.5</cx:f>
      </cx:numDim>
    </cx:data>
  </cx:chartData>
  <cx:chart>
    <cx:title pos="t" align="ctr" overlay="0">
      <cx:tx>
        <cx:rich>
          <a:bodyPr spcFirstLastPara="1" vertOverflow="ellipsis" horzOverflow="overflow" wrap="square" lIns="0" tIns="0" rIns="0" bIns="0" anchor="ctr" anchorCtr="1"/>
          <a:lstStyle/>
          <a:p>
            <a:pPr algn="ctr" rtl="0">
              <a:defRPr>
                <a:latin typeface="Open Sans" panose="020B0606030504020204" pitchFamily="34" charset="0"/>
                <a:ea typeface="Open Sans" panose="020B0606030504020204" pitchFamily="34" charset="0"/>
                <a:cs typeface="Open Sans" panose="020B0606030504020204" pitchFamily="34" charset="0"/>
              </a:defRPr>
            </a:pPr>
            <a:r>
              <a:rPr lang="en-US" sz="1200" b="0" i="0" u="none" strike="noStrike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Open Sans" panose="020B0606030504020204" pitchFamily="34" charset="0"/>
                <a:ea typeface="Open Sans" panose="020B0606030504020204" pitchFamily="34" charset="0"/>
                <a:cs typeface="Open Sans" panose="020B0606030504020204" pitchFamily="34" charset="0"/>
              </a:rPr>
              <a:t>Market Value vs Intrinsic Value</a:t>
            </a:r>
            <a:endParaRPr lang="en-US" sz="1400" b="0" i="0" u="none" strike="noStrike" baseline="0">
              <a:solidFill>
                <a:sysClr val="windowText" lastClr="000000">
                  <a:lumMod val="65000"/>
                  <a:lumOff val="35000"/>
                </a:sysClr>
              </a:solidFill>
              <a:latin typeface="Open Sans" panose="020B0606030504020204" pitchFamily="34" charset="0"/>
              <a:ea typeface="Open Sans" panose="020B0606030504020204" pitchFamily="34" charset="0"/>
              <a:cs typeface="Open Sans" panose="020B0606030504020204" pitchFamily="34" charset="0"/>
            </a:endParaRPr>
          </a:p>
        </cx:rich>
      </cx:tx>
    </cx:title>
    <cx:plotArea>
      <cx:plotAreaRegion>
        <cx:plotSurface>
          <cx:spPr>
            <a:noFill/>
            <a:ln>
              <a:noFill/>
            </a:ln>
          </cx:spPr>
        </cx:plotSurface>
        <cx:series layoutId="waterfall" uniqueId="{8DE9D384-90CA-46AD-9838-15A56339DF8B}" formatIdx="1">
          <cx:spPr>
            <a:solidFill>
              <a:schemeClr val="bg2"/>
            </a:solidFill>
          </cx:spPr>
          <cx:dataPt idx="0">
            <cx:spPr>
              <a:solidFill>
                <a:srgbClr val="132E57"/>
              </a:solidFill>
            </cx:spPr>
          </cx:dataPt>
          <cx:dataPt idx="1">
            <cx:spPr>
              <a:solidFill>
                <a:srgbClr val="1E8496">
                  <a:lumMod val="40000"/>
                  <a:lumOff val="60000"/>
                </a:srgbClr>
              </a:solidFill>
            </cx:spPr>
          </cx:dataPt>
          <cx:dataPt idx="2">
            <cx:spPr>
              <a:solidFill>
                <a:srgbClr val="1E2A39">
                  <a:lumMod val="25000"/>
                  <a:lumOff val="75000"/>
                </a:srgbClr>
              </a:solidFill>
            </cx:spPr>
          </cx:dataPt>
          <cx:dataLabels pos="outEnd">
            <cx:numFmt formatCode="$#,##0.00" sourceLinked="0"/>
            <cx:txPr>
              <a:bodyPr spcFirstLastPara="1" vertOverflow="ellipsis" horzOverflow="overflow" wrap="square" lIns="0" tIns="0" rIns="0" bIns="0" anchor="ctr" anchorCtr="1"/>
              <a:lstStyle/>
              <a:p>
                <a:pPr algn="ctr" rtl="0">
                  <a:defRPr>
                    <a:solidFill>
                      <a:schemeClr val="bg2"/>
                    </a:solidFill>
                  </a:defRPr>
                </a:pPr>
                <a:endParaRPr lang="en-US" sz="900" b="0" i="0" u="none" strike="noStrike" baseline="0">
                  <a:solidFill>
                    <a:schemeClr val="bg2"/>
                  </a:solidFill>
                  <a:latin typeface="Calibri" panose="020F0502020204030204"/>
                </a:endParaRPr>
              </a:p>
            </cx:txPr>
            <cx:visibility seriesName="0" categoryName="0" value="1"/>
            <cx:separator>, </cx:separator>
          </cx:dataLabels>
          <cx:dataId val="0"/>
          <cx:layoutPr>
            <cx:subtotals>
              <cx:idx val="2"/>
            </cx:subtotals>
          </cx:layoutPr>
        </cx:series>
      </cx:plotAreaRegion>
      <cx:axis id="0">
        <cx:catScaling gapWidth="0.5"/>
        <cx:tickLabels/>
        <cx:txPr>
          <a:bodyPr vertOverflow="overflow" horzOverflow="overflow" wrap="square" lIns="0" tIns="0" rIns="0" bIns="0"/>
          <a:lstStyle/>
          <a:p>
            <a:pPr algn="ctr" rtl="0">
              <a:defRPr sz="1200" b="0" i="0">
                <a:solidFill>
                  <a:srgbClr val="000000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defRPr>
            </a:pPr>
            <a:endParaRPr/>
          </a:p>
        </cx:txPr>
      </cx:axis>
      <cx:axis id="1">
        <cx:valScaling/>
        <cx:tickLabels/>
        <cx:numFmt formatCode="$#,##0.00" sourceLinked="0"/>
        <cx:txPr>
          <a:bodyPr spcFirstLastPara="1" vertOverflow="ellipsis" horzOverflow="overflow" wrap="square" lIns="0" tIns="0" rIns="0" bIns="0" anchor="ctr" anchorCtr="1"/>
          <a:lstStyle/>
          <a:p>
            <a:pPr algn="ctr" rtl="0">
              <a:defRPr sz="800">
                <a:latin typeface="Open Sans" panose="020B0606030504020204" pitchFamily="34" charset="0"/>
                <a:ea typeface="Open Sans" panose="020B0606030504020204" pitchFamily="34" charset="0"/>
                <a:cs typeface="Open Sans" panose="020B0606030504020204" pitchFamily="34" charset="0"/>
              </a:defRPr>
            </a:pPr>
            <a:endParaRPr lang="en-US" sz="800" b="0" i="0" u="none" strike="noStrike" baseline="0">
              <a:solidFill>
                <a:sysClr val="windowText" lastClr="000000">
                  <a:lumMod val="65000"/>
                  <a:lumOff val="35000"/>
                </a:sysClr>
              </a:solidFill>
              <a:latin typeface="Open Sans" panose="020B0606030504020204" pitchFamily="34" charset="0"/>
              <a:ea typeface="Open Sans" panose="020B0606030504020204" pitchFamily="34" charset="0"/>
              <a:cs typeface="Open Sans" panose="020B0606030504020204" pitchFamily="34" charset="0"/>
            </a:endParaRPr>
          </a:p>
        </cx:txPr>
      </cx:axis>
    </cx:plotArea>
  </cx:chart>
  <cx:spPr>
    <a:noFill/>
    <a:ln>
      <a:noFill/>
    </a:ln>
  </cx:spPr>
</cx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9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microsoft.com/office/2014/relationships/chartEx" Target="../charts/chartEx1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314326</xdr:colOff>
      <xdr:row>3</xdr:row>
      <xdr:rowOff>85725</xdr:rowOff>
    </xdr:from>
    <xdr:to>
      <xdr:col>21</xdr:col>
      <xdr:colOff>571500</xdr:colOff>
      <xdr:row>16</xdr:row>
      <xdr:rowOff>108213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E31E59A-1A30-40A8-B4F9-0770A24C303F}"/>
            </a:ext>
            <a:ext uri="{147F2762-F138-4A5C-976F-8EAC2B608ADB}">
              <a16:predDERef xmlns:a16="http://schemas.microsoft.com/office/drawing/2014/main" pred="{893C2993-3553-4689-91E4-AE8D129BFF3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466724</xdr:colOff>
      <xdr:row>19</xdr:row>
      <xdr:rowOff>171451</xdr:rowOff>
    </xdr:from>
    <xdr:to>
      <xdr:col>20</xdr:col>
      <xdr:colOff>457199</xdr:colOff>
      <xdr:row>31</xdr:row>
      <xdr:rowOff>57150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5" name="Chart 4">
              <a:extLst>
                <a:ext uri="{FF2B5EF4-FFF2-40B4-BE49-F238E27FC236}">
                  <a16:creationId xmlns:a16="http://schemas.microsoft.com/office/drawing/2014/main" id="{4279C28A-B758-47E1-9CB3-ABF566CBF173}"/>
                </a:ext>
                <a:ext uri="{147F2762-F138-4A5C-976F-8EAC2B608ADB}">
                  <a16:predDERef xmlns:a16="http://schemas.microsoft.com/office/drawing/2014/main" pred="{5E31E59A-1A30-40A8-B4F9-0770A24C303F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2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3636624" y="4210051"/>
              <a:ext cx="3482975" cy="2324099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GB" sz="1100"/>
                <a:t>This chart isn’t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</xdr:wsDr>
</file>

<file path=xl/theme/theme1.xml><?xml version="1.0" encoding="utf-8"?>
<a:theme xmlns:a="http://schemas.openxmlformats.org/drawingml/2006/main" name="Office Theme">
  <a:themeElements>
    <a:clrScheme name="CFI">
      <a:dk1>
        <a:sysClr val="windowText" lastClr="000000"/>
      </a:dk1>
      <a:lt1>
        <a:sysClr val="window" lastClr="FFFFFF"/>
      </a:lt1>
      <a:dk2>
        <a:srgbClr val="FA621C"/>
      </a:dk2>
      <a:lt2>
        <a:srgbClr val="132E57"/>
      </a:lt2>
      <a:accent1>
        <a:srgbClr val="E6E7E8"/>
      </a:accent1>
      <a:accent2>
        <a:srgbClr val="F57A16"/>
      </a:accent2>
      <a:accent3>
        <a:srgbClr val="1E8496"/>
      </a:accent3>
      <a:accent4>
        <a:srgbClr val="E6E7E8"/>
      </a:accent4>
      <a:accent5>
        <a:srgbClr val="ED942D"/>
      </a:accent5>
      <a:accent6>
        <a:srgbClr val="1E2A39"/>
      </a:accent6>
      <a:hlink>
        <a:srgbClr val="E6E7E8"/>
      </a:hlink>
      <a:folHlink>
        <a:srgbClr val="676767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javascript:void(0);" TargetMode="External"/><Relationship Id="rId3" Type="http://schemas.openxmlformats.org/officeDocument/2006/relationships/hyperlink" Target="javascript:void(0);" TargetMode="External"/><Relationship Id="rId7" Type="http://schemas.openxmlformats.org/officeDocument/2006/relationships/hyperlink" Target="javascript:void(0);" TargetMode="External"/><Relationship Id="rId2" Type="http://schemas.openxmlformats.org/officeDocument/2006/relationships/hyperlink" Target="javascript:void(0);" TargetMode="External"/><Relationship Id="rId1" Type="http://schemas.openxmlformats.org/officeDocument/2006/relationships/hyperlink" Target="javascript:void(0);" TargetMode="External"/><Relationship Id="rId6" Type="http://schemas.openxmlformats.org/officeDocument/2006/relationships/hyperlink" Target="javascript:void(0);" TargetMode="External"/><Relationship Id="rId5" Type="http://schemas.openxmlformats.org/officeDocument/2006/relationships/hyperlink" Target="javascript:void(0);" TargetMode="External"/><Relationship Id="rId10" Type="http://schemas.openxmlformats.org/officeDocument/2006/relationships/hyperlink" Target="javascript:void(0);" TargetMode="External"/><Relationship Id="rId4" Type="http://schemas.openxmlformats.org/officeDocument/2006/relationships/hyperlink" Target="javascript:void(0);" TargetMode="External"/><Relationship Id="rId9" Type="http://schemas.openxmlformats.org/officeDocument/2006/relationships/hyperlink" Target="javascript:void(0);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0F43B1-5FA0-4485-A8D3-FBC8AB18EAFB}">
  <dimension ref="A1:E16"/>
  <sheetViews>
    <sheetView tabSelected="1" zoomScale="85" workbookViewId="0">
      <selection activeCell="M12" sqref="M12"/>
    </sheetView>
  </sheetViews>
  <sheetFormatPr baseColWidth="10" defaultColWidth="8.83203125" defaultRowHeight="15" x14ac:dyDescent="0.2"/>
  <cols>
    <col min="1" max="1" width="17.33203125" bestFit="1" customWidth="1"/>
    <col min="2" max="2" width="26.5" bestFit="1" customWidth="1"/>
    <col min="3" max="3" width="13.83203125" bestFit="1" customWidth="1"/>
    <col min="4" max="8" width="11.83203125" bestFit="1" customWidth="1"/>
  </cols>
  <sheetData>
    <row r="1" spans="1:5" x14ac:dyDescent="0.2">
      <c r="A1" s="123" t="s">
        <v>1</v>
      </c>
      <c r="B1" s="124">
        <f>'DCF Model'!D10*68485.35</f>
        <v>2305490.8224000004</v>
      </c>
    </row>
    <row r="2" spans="1:5" x14ac:dyDescent="0.2">
      <c r="A2" s="125" t="s">
        <v>2</v>
      </c>
      <c r="B2" s="126">
        <f>'DCF Model'!D14</f>
        <v>1220903.69</v>
      </c>
      <c r="D2" s="73"/>
    </row>
    <row r="3" spans="1:5" x14ac:dyDescent="0.2">
      <c r="A3" s="125" t="s">
        <v>3</v>
      </c>
      <c r="B3" s="127">
        <f>B1/(B1+B2)</f>
        <v>0.65378130957642766</v>
      </c>
    </row>
    <row r="4" spans="1:5" x14ac:dyDescent="0.2">
      <c r="A4" s="125" t="s">
        <v>4</v>
      </c>
      <c r="B4" s="127">
        <f>B2/(B2+B1)</f>
        <v>0.34621869042357228</v>
      </c>
    </row>
    <row r="5" spans="1:5" x14ac:dyDescent="0.2">
      <c r="A5" s="125" t="s">
        <v>5</v>
      </c>
      <c r="B5" s="128">
        <v>0.06</v>
      </c>
    </row>
    <row r="6" spans="1:5" x14ac:dyDescent="0.2">
      <c r="A6" s="125" t="s">
        <v>6</v>
      </c>
      <c r="B6" s="129">
        <v>0.63</v>
      </c>
      <c r="C6" t="s">
        <v>7</v>
      </c>
    </row>
    <row r="7" spans="1:5" x14ac:dyDescent="0.2">
      <c r="A7" s="125" t="s">
        <v>8</v>
      </c>
      <c r="B7" s="128">
        <v>2.6360000000000001E-2</v>
      </c>
      <c r="C7" t="s">
        <v>9</v>
      </c>
    </row>
    <row r="8" spans="1:5" x14ac:dyDescent="0.2">
      <c r="A8" s="125" t="s">
        <v>10</v>
      </c>
      <c r="B8" s="128">
        <f>B7+B6*B5</f>
        <v>6.4159999999999995E-2</v>
      </c>
      <c r="C8" t="s">
        <v>11</v>
      </c>
    </row>
    <row r="9" spans="1:5" x14ac:dyDescent="0.2">
      <c r="A9" s="125" t="s">
        <v>12</v>
      </c>
      <c r="B9" s="126">
        <v>63536.1</v>
      </c>
    </row>
    <row r="10" spans="1:5" x14ac:dyDescent="0.2">
      <c r="A10" s="125" t="s">
        <v>13</v>
      </c>
      <c r="B10" s="130">
        <f>B9/B2</f>
        <v>5.2040222763189453E-2</v>
      </c>
    </row>
    <row r="11" spans="1:5" ht="16" thickBot="1" x14ac:dyDescent="0.25">
      <c r="A11" s="132" t="s">
        <v>14</v>
      </c>
      <c r="B11" s="133">
        <f>23.5%</f>
        <v>0.23499999999999999</v>
      </c>
    </row>
    <row r="12" spans="1:5" ht="17" thickTop="1" thickBot="1" x14ac:dyDescent="0.25">
      <c r="A12" s="131" t="s">
        <v>15</v>
      </c>
      <c r="B12" s="134">
        <f>B3*B8+B4*B10*(1-B11)</f>
        <v>5.5729841619856751E-2</v>
      </c>
    </row>
    <row r="15" spans="1:5" x14ac:dyDescent="0.2">
      <c r="D15" s="74"/>
    </row>
    <row r="16" spans="1:5" x14ac:dyDescent="0.2">
      <c r="E16" s="7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040A65-C689-45C7-AAB3-07FD8D3FC4E1}">
  <dimension ref="A1:L36"/>
  <sheetViews>
    <sheetView zoomScale="79" workbookViewId="0">
      <selection activeCell="M9" sqref="M9"/>
    </sheetView>
  </sheetViews>
  <sheetFormatPr baseColWidth="10" defaultColWidth="8.83203125" defaultRowHeight="15" x14ac:dyDescent="0.2"/>
  <cols>
    <col min="1" max="1" width="28.6640625" bestFit="1" customWidth="1"/>
    <col min="2" max="5" width="13.6640625" bestFit="1" customWidth="1"/>
    <col min="6" max="6" width="14.83203125" bestFit="1" customWidth="1"/>
    <col min="7" max="8" width="13.6640625" bestFit="1" customWidth="1"/>
    <col min="9" max="9" width="16" bestFit="1" customWidth="1"/>
    <col min="10" max="11" width="13.6640625" bestFit="1" customWidth="1"/>
    <col min="14" max="14" width="95.5" customWidth="1"/>
  </cols>
  <sheetData>
    <row r="1" spans="1:12" ht="16" x14ac:dyDescent="0.2">
      <c r="A1" s="103" t="s">
        <v>18</v>
      </c>
      <c r="B1" s="104"/>
      <c r="C1" s="104"/>
      <c r="D1" s="104"/>
      <c r="E1" s="104"/>
      <c r="F1" s="104"/>
      <c r="G1" s="105"/>
    </row>
    <row r="2" spans="1:12" ht="16" x14ac:dyDescent="0.2">
      <c r="A2" s="80" t="s">
        <v>19</v>
      </c>
      <c r="B2" s="99" t="s">
        <v>20</v>
      </c>
      <c r="C2" s="94" t="s">
        <v>21</v>
      </c>
      <c r="D2" s="94" t="s">
        <v>22</v>
      </c>
      <c r="E2" s="94" t="s">
        <v>23</v>
      </c>
      <c r="F2" s="94" t="s">
        <v>24</v>
      </c>
      <c r="G2" s="95" t="s">
        <v>25</v>
      </c>
    </row>
    <row r="3" spans="1:12" x14ac:dyDescent="0.2">
      <c r="A3" s="41" t="s">
        <v>26</v>
      </c>
      <c r="B3" s="61">
        <v>2807772.72</v>
      </c>
      <c r="C3" s="44">
        <f>B3*(1+$B$6)</f>
        <v>2977469.5052127647</v>
      </c>
      <c r="D3" s="44">
        <f>C3*(1+$B$6)</f>
        <v>3157422.4620545302</v>
      </c>
      <c r="E3" s="44">
        <f>D3*(1+$B$6)</f>
        <v>3348251.4552820255</v>
      </c>
      <c r="F3" s="44">
        <f>E3*(1+$B$6)</f>
        <v>3550613.8131744834</v>
      </c>
      <c r="G3" s="45">
        <f>F3*(1+$B$6)</f>
        <v>3765206.5917622549</v>
      </c>
    </row>
    <row r="4" spans="1:12" x14ac:dyDescent="0.2">
      <c r="A4" s="41" t="s">
        <v>27</v>
      </c>
      <c r="B4" s="40">
        <f>B5/B3</f>
        <v>0.11392155701263455</v>
      </c>
      <c r="C4" s="42">
        <f>B4+$B$7</f>
        <v>0.11692155701263456</v>
      </c>
      <c r="D4" s="42">
        <f>C4+$B$7</f>
        <v>0.11992155701263456</v>
      </c>
      <c r="E4" s="42">
        <f>D4+$B$7</f>
        <v>0.12292155701263456</v>
      </c>
      <c r="F4" s="42">
        <f>E4+$B$7</f>
        <v>0.12592155701263455</v>
      </c>
      <c r="G4" s="43">
        <f>F4+$B$7</f>
        <v>0.12892155701263455</v>
      </c>
    </row>
    <row r="5" spans="1:12" x14ac:dyDescent="0.2">
      <c r="A5" s="41" t="s">
        <v>28</v>
      </c>
      <c r="B5" s="39">
        <v>319865.84000000003</v>
      </c>
      <c r="C5" s="44">
        <f>(C3*C4)</f>
        <v>348130.37050711509</v>
      </c>
      <c r="D5" s="49">
        <f t="shared" ref="D5:G5" si="0">(D3*D4)</f>
        <v>378643.01779624529</v>
      </c>
      <c r="E5" s="49">
        <f t="shared" si="0"/>
        <v>411572.28215308615</v>
      </c>
      <c r="F5" s="49">
        <f t="shared" si="0"/>
        <v>447098.81970549846</v>
      </c>
      <c r="G5" s="50">
        <f t="shared" si="0"/>
        <v>485416.29628422495</v>
      </c>
    </row>
    <row r="6" spans="1:12" x14ac:dyDescent="0.2">
      <c r="A6" s="52" t="s">
        <v>29</v>
      </c>
      <c r="B6" s="54">
        <f>(F12/E12) -1</f>
        <v>6.0438219947077654E-2</v>
      </c>
      <c r="C6" s="51" t="s">
        <v>30</v>
      </c>
      <c r="G6" s="31"/>
      <c r="I6" s="42"/>
    </row>
    <row r="7" spans="1:12" x14ac:dyDescent="0.2">
      <c r="A7" s="46" t="s">
        <v>31</v>
      </c>
      <c r="B7" s="57">
        <v>3.0000000000000001E-3</v>
      </c>
      <c r="C7" s="47" t="s">
        <v>32</v>
      </c>
      <c r="D7" s="47"/>
      <c r="E7" s="47"/>
      <c r="F7" s="47"/>
      <c r="G7" s="32"/>
      <c r="I7" s="42"/>
    </row>
    <row r="8" spans="1:12" x14ac:dyDescent="0.2">
      <c r="A8" s="53" t="s">
        <v>33</v>
      </c>
    </row>
    <row r="10" spans="1:12" x14ac:dyDescent="0.2">
      <c r="A10" s="106" t="s">
        <v>34</v>
      </c>
      <c r="B10" s="107"/>
      <c r="C10" s="107"/>
      <c r="D10" s="107"/>
      <c r="E10" s="107"/>
      <c r="F10" s="107"/>
      <c r="G10" s="107"/>
      <c r="H10" s="107"/>
      <c r="I10" s="107"/>
      <c r="J10" s="107"/>
      <c r="K10" s="108"/>
    </row>
    <row r="11" spans="1:12" ht="16" x14ac:dyDescent="0.2">
      <c r="A11" s="81" t="s">
        <v>35</v>
      </c>
      <c r="B11" s="77" t="s">
        <v>36</v>
      </c>
      <c r="C11" s="77" t="s">
        <v>37</v>
      </c>
      <c r="D11" s="77" t="s">
        <v>38</v>
      </c>
      <c r="E11" s="77" t="s">
        <v>39</v>
      </c>
      <c r="F11" s="98" t="s">
        <v>20</v>
      </c>
      <c r="G11" s="96" t="s">
        <v>21</v>
      </c>
      <c r="H11" s="96" t="s">
        <v>22</v>
      </c>
      <c r="I11" s="96" t="s">
        <v>23</v>
      </c>
      <c r="J11" s="96" t="s">
        <v>24</v>
      </c>
      <c r="K11" s="97" t="s">
        <v>25</v>
      </c>
    </row>
    <row r="12" spans="1:12" x14ac:dyDescent="0.2">
      <c r="A12" s="52" t="s">
        <v>40</v>
      </c>
      <c r="B12" s="62">
        <v>1735189.16</v>
      </c>
      <c r="C12" s="62">
        <v>1819121.66</v>
      </c>
      <c r="D12" s="62">
        <v>2334891.48</v>
      </c>
      <c r="E12" s="62">
        <v>2647747.5699999998</v>
      </c>
      <c r="F12" s="61">
        <f>B3</f>
        <v>2807772.72</v>
      </c>
      <c r="G12" s="63">
        <f>C3</f>
        <v>2977469.5052127647</v>
      </c>
      <c r="H12" s="63">
        <f t="shared" ref="H12:K12" si="1">D3</f>
        <v>3157422.4620545302</v>
      </c>
      <c r="I12" s="63">
        <f t="shared" si="1"/>
        <v>3348251.4552820255</v>
      </c>
      <c r="J12" s="63">
        <f t="shared" si="1"/>
        <v>3550613.8131744834</v>
      </c>
      <c r="K12" s="64">
        <f t="shared" si="1"/>
        <v>3765206.5917622549</v>
      </c>
      <c r="L12" t="s">
        <v>41</v>
      </c>
    </row>
    <row r="13" spans="1:12" x14ac:dyDescent="0.2">
      <c r="A13" s="41" t="s">
        <v>42</v>
      </c>
      <c r="B13" s="65">
        <v>93524.79</v>
      </c>
      <c r="C13" s="65">
        <v>107175.35</v>
      </c>
      <c r="D13" s="65">
        <v>131525</v>
      </c>
      <c r="E13" s="65">
        <v>180500.99</v>
      </c>
      <c r="F13" s="66">
        <v>153568.81</v>
      </c>
      <c r="G13" s="67">
        <f>F13*$B$15</f>
        <v>98592.990147491393</v>
      </c>
      <c r="H13" s="67">
        <f t="shared" ref="H13:K13" si="2">G13*$B$15</f>
        <v>63297.864365969464</v>
      </c>
      <c r="I13" s="67">
        <f t="shared" si="2"/>
        <v>40637.976668512791</v>
      </c>
      <c r="J13" s="67">
        <f t="shared" si="2"/>
        <v>26090.061082668199</v>
      </c>
      <c r="K13" s="68">
        <f t="shared" si="2"/>
        <v>16750.127420216086</v>
      </c>
      <c r="L13" t="s">
        <v>41</v>
      </c>
    </row>
    <row r="14" spans="1:12" x14ac:dyDescent="0.2">
      <c r="A14" s="75" t="s">
        <v>43</v>
      </c>
      <c r="B14" s="69">
        <v>172476.68</v>
      </c>
      <c r="C14" s="69">
        <v>166573.73000000001</v>
      </c>
      <c r="D14" s="69">
        <v>198025.36</v>
      </c>
      <c r="E14" s="69">
        <v>230860.49</v>
      </c>
      <c r="F14" s="70">
        <v>250598.47</v>
      </c>
      <c r="G14" s="71">
        <f>F14*$B$16</f>
        <v>113506.36531072669</v>
      </c>
      <c r="H14" s="71">
        <f t="shared" ref="H14:K14" si="3">G14*$B$16</f>
        <v>51411.706408471444</v>
      </c>
      <c r="I14" s="71">
        <f t="shared" si="3"/>
        <v>23286.47867980913</v>
      </c>
      <c r="J14" s="71">
        <f t="shared" si="3"/>
        <v>10547.40500143861</v>
      </c>
      <c r="K14" s="72">
        <f t="shared" si="3"/>
        <v>4777.3540084800861</v>
      </c>
    </row>
    <row r="15" spans="1:12" x14ac:dyDescent="0.2">
      <c r="A15" s="41" t="s">
        <v>44</v>
      </c>
      <c r="B15" s="59">
        <f>(F13/B13) -1</f>
        <v>0.6420118131246273</v>
      </c>
      <c r="C15" t="s">
        <v>45</v>
      </c>
      <c r="K15" s="31"/>
    </row>
    <row r="16" spans="1:12" x14ac:dyDescent="0.2">
      <c r="A16" s="60" t="s">
        <v>46</v>
      </c>
      <c r="B16" s="58">
        <f>(F14/B14) -1</f>
        <v>0.45294117442427595</v>
      </c>
      <c r="C16" s="47" t="s">
        <v>45</v>
      </c>
      <c r="D16" s="47"/>
      <c r="E16" s="47"/>
      <c r="F16" s="47"/>
      <c r="G16" s="47"/>
      <c r="H16" s="47"/>
      <c r="I16" s="47"/>
      <c r="J16" s="47"/>
      <c r="K16" s="32"/>
    </row>
    <row r="19" spans="1:11" x14ac:dyDescent="0.2">
      <c r="A19" s="109" t="s">
        <v>47</v>
      </c>
      <c r="B19" s="110"/>
      <c r="C19" s="110"/>
      <c r="D19" s="110"/>
      <c r="E19" s="110"/>
      <c r="F19" s="110"/>
      <c r="G19" s="110"/>
      <c r="H19" s="110"/>
      <c r="I19" s="110"/>
      <c r="J19" s="110"/>
      <c r="K19" s="111"/>
    </row>
    <row r="20" spans="1:11" ht="16" x14ac:dyDescent="0.2">
      <c r="A20" s="83" t="s">
        <v>35</v>
      </c>
      <c r="B20" s="77" t="s">
        <v>36</v>
      </c>
      <c r="C20" s="77" t="s">
        <v>37</v>
      </c>
      <c r="D20" s="77" t="s">
        <v>38</v>
      </c>
      <c r="E20" s="77" t="s">
        <v>39</v>
      </c>
      <c r="F20" s="77" t="s">
        <v>20</v>
      </c>
      <c r="G20" s="96" t="s">
        <v>21</v>
      </c>
      <c r="H20" s="96" t="s">
        <v>22</v>
      </c>
      <c r="I20" s="96" t="s">
        <v>23</v>
      </c>
      <c r="J20" s="96" t="s">
        <v>24</v>
      </c>
      <c r="K20" s="97" t="s">
        <v>25</v>
      </c>
    </row>
    <row r="21" spans="1:11" x14ac:dyDescent="0.2">
      <c r="A21" s="100" t="s">
        <v>48</v>
      </c>
      <c r="B21" s="101"/>
      <c r="C21" s="101"/>
      <c r="D21" s="101"/>
      <c r="E21" s="101"/>
      <c r="F21" s="101"/>
      <c r="G21" s="101"/>
      <c r="H21" s="101"/>
      <c r="I21" s="101"/>
      <c r="J21" s="101"/>
      <c r="K21" s="102"/>
    </row>
    <row r="22" spans="1:11" x14ac:dyDescent="0.2">
      <c r="A22" s="76" t="s">
        <v>49</v>
      </c>
      <c r="B22">
        <v>218890.03</v>
      </c>
      <c r="C22">
        <v>261199.5</v>
      </c>
      <c r="D22">
        <v>297207.48</v>
      </c>
      <c r="E22">
        <v>303885.24</v>
      </c>
      <c r="F22" s="39">
        <v>306858.51</v>
      </c>
      <c r="G22" s="44">
        <f>(F23/365)*G31</f>
        <v>325404.49212001252</v>
      </c>
      <c r="H22" s="44">
        <f>(G23/365)*H31</f>
        <v>345071.36038652895</v>
      </c>
      <c r="I22" s="44">
        <f>(H23/365)*I31</f>
        <v>365926.85916300729</v>
      </c>
      <c r="J22" s="44">
        <f>(I23/365)*J31</f>
        <v>388042.82716164441</v>
      </c>
      <c r="K22" s="45">
        <f>(J23/365)*K31</f>
        <v>411495.44489852572</v>
      </c>
    </row>
    <row r="23" spans="1:11" x14ac:dyDescent="0.2">
      <c r="A23" s="41" t="s">
        <v>50</v>
      </c>
      <c r="B23" s="44">
        <f t="shared" ref="B23:K23" si="4">(B22/B31)*365</f>
        <v>46.043891232008392</v>
      </c>
      <c r="C23" s="44">
        <f t="shared" si="4"/>
        <v>52.408708882065646</v>
      </c>
      <c r="D23" s="44">
        <f t="shared" si="4"/>
        <v>46.460716110026659</v>
      </c>
      <c r="E23" s="44">
        <f t="shared" si="4"/>
        <v>41.891498214083903</v>
      </c>
      <c r="F23" s="48">
        <f t="shared" si="4"/>
        <v>39.890463837115703</v>
      </c>
      <c r="G23" s="44">
        <f t="shared" si="4"/>
        <v>39.890463837115703</v>
      </c>
      <c r="H23" s="44">
        <f t="shared" si="4"/>
        <v>39.890463837115703</v>
      </c>
      <c r="I23" s="44">
        <f t="shared" si="4"/>
        <v>39.890463837115703</v>
      </c>
      <c r="J23" s="44">
        <f t="shared" si="4"/>
        <v>39.890463837115703</v>
      </c>
      <c r="K23" s="45">
        <f t="shared" si="4"/>
        <v>39.890463837115703</v>
      </c>
    </row>
    <row r="24" spans="1:11" x14ac:dyDescent="0.2">
      <c r="A24" s="76" t="s">
        <v>51</v>
      </c>
      <c r="B24" t="s">
        <v>52</v>
      </c>
      <c r="C24" t="s">
        <v>52</v>
      </c>
      <c r="D24">
        <v>8437.7800000000007</v>
      </c>
      <c r="E24">
        <v>45789.69</v>
      </c>
      <c r="F24" s="39">
        <v>36742.730000000003</v>
      </c>
      <c r="G24" s="44">
        <f>(F25/365)*G32</f>
        <v>36623.12422354993</v>
      </c>
      <c r="H24" s="44">
        <f>(G25/365)*H32</f>
        <v>36503.907790563462</v>
      </c>
      <c r="I24" s="44">
        <f>(H25/365)*I32</f>
        <v>36385.079433640829</v>
      </c>
      <c r="J24" s="44">
        <f>(I25/365)*J32</f>
        <v>36266.637889507932</v>
      </c>
      <c r="K24" s="45">
        <f>(J25/365)*K32</f>
        <v>36148.581899002929</v>
      </c>
    </row>
    <row r="25" spans="1:11" x14ac:dyDescent="0.2">
      <c r="A25" s="86" t="s">
        <v>53</v>
      </c>
      <c r="B25" s="87" t="s">
        <v>52</v>
      </c>
      <c r="C25" s="87" t="s">
        <v>52</v>
      </c>
      <c r="D25" s="49">
        <f t="shared" ref="D25:K25" si="5">(D24/D32)*365</f>
        <v>1.8505923883338646</v>
      </c>
      <c r="E25" s="49">
        <f t="shared" si="5"/>
        <v>8.6758655060257279</v>
      </c>
      <c r="F25" s="88">
        <f t="shared" si="5"/>
        <v>6.9844555915898887</v>
      </c>
      <c r="G25" s="49">
        <f t="shared" si="5"/>
        <v>6.9844555915898887</v>
      </c>
      <c r="H25" s="49">
        <f t="shared" si="5"/>
        <v>6.9844555915898887</v>
      </c>
      <c r="I25" s="49">
        <f t="shared" si="5"/>
        <v>6.9844555915898887</v>
      </c>
      <c r="J25" s="49">
        <f t="shared" si="5"/>
        <v>6.9844555915898887</v>
      </c>
      <c r="K25" s="50">
        <f t="shared" si="5"/>
        <v>6.9844555915898887</v>
      </c>
    </row>
    <row r="26" spans="1:11" x14ac:dyDescent="0.2">
      <c r="A26" s="41" t="s">
        <v>54</v>
      </c>
      <c r="B26">
        <f>SUM(B22,B24)</f>
        <v>218890.03</v>
      </c>
      <c r="C26">
        <f t="shared" ref="C26:K26" si="6">SUM(C22,C24)</f>
        <v>261199.5</v>
      </c>
      <c r="D26">
        <f t="shared" si="6"/>
        <v>305645.26</v>
      </c>
      <c r="E26">
        <f t="shared" si="6"/>
        <v>349674.93</v>
      </c>
      <c r="F26" s="39">
        <f t="shared" si="6"/>
        <v>343601.24</v>
      </c>
      <c r="G26" s="44">
        <f t="shared" si="6"/>
        <v>362027.61634356243</v>
      </c>
      <c r="H26" s="44">
        <f t="shared" si="6"/>
        <v>381575.26817709242</v>
      </c>
      <c r="I26" s="44">
        <f t="shared" si="6"/>
        <v>402311.93859664811</v>
      </c>
      <c r="J26" s="44">
        <f t="shared" si="6"/>
        <v>424309.46505115234</v>
      </c>
      <c r="K26" s="45">
        <f t="shared" si="6"/>
        <v>447644.02679752867</v>
      </c>
    </row>
    <row r="27" spans="1:11" x14ac:dyDescent="0.2">
      <c r="A27" s="100" t="s">
        <v>55</v>
      </c>
      <c r="B27" s="101"/>
      <c r="C27" s="101"/>
      <c r="D27" s="101"/>
      <c r="E27" s="101"/>
      <c r="F27" s="101"/>
      <c r="G27" s="101"/>
      <c r="H27" s="101"/>
      <c r="I27" s="101"/>
      <c r="J27" s="101"/>
      <c r="K27" s="102"/>
    </row>
    <row r="28" spans="1:11" x14ac:dyDescent="0.2">
      <c r="A28" s="41" t="s">
        <v>56</v>
      </c>
      <c r="B28">
        <v>59724.43</v>
      </c>
      <c r="C28">
        <v>66807.17</v>
      </c>
      <c r="D28">
        <v>77106.990000000005</v>
      </c>
      <c r="E28">
        <v>77365.69</v>
      </c>
      <c r="F28" s="39">
        <v>74183.66</v>
      </c>
      <c r="G28">
        <f>(F29/365)*G32</f>
        <v>73942.175650464516</v>
      </c>
      <c r="H28">
        <f>(G29/365)*H32</f>
        <v>73701.477386315906</v>
      </c>
      <c r="I28">
        <f>(H29/365)*I32</f>
        <v>73461.56264867101</v>
      </c>
      <c r="J28">
        <f>(I29/365)*J32</f>
        <v>73222.428886976384</v>
      </c>
      <c r="K28" s="31">
        <f>(J29/365)*K32</f>
        <v>72984.073558981254</v>
      </c>
    </row>
    <row r="29" spans="1:11" x14ac:dyDescent="0.2">
      <c r="A29" s="55" t="s">
        <v>57</v>
      </c>
      <c r="B29" s="49">
        <f t="shared" ref="B29:K29" si="7">(B28/B32)*365</f>
        <v>15.626115594715614</v>
      </c>
      <c r="C29" s="49">
        <f t="shared" si="7"/>
        <v>17.302995262573408</v>
      </c>
      <c r="D29" s="49">
        <f t="shared" si="7"/>
        <v>16.911273911068481</v>
      </c>
      <c r="E29" s="49">
        <f t="shared" si="7"/>
        <v>14.658634317482376</v>
      </c>
      <c r="F29" s="88">
        <f t="shared" si="7"/>
        <v>14.101632592123751</v>
      </c>
      <c r="G29" s="49">
        <f t="shared" si="7"/>
        <v>14.101632592123751</v>
      </c>
      <c r="H29" s="49">
        <f t="shared" si="7"/>
        <v>14.101632592123751</v>
      </c>
      <c r="I29" s="49">
        <f t="shared" si="7"/>
        <v>14.101632592123751</v>
      </c>
      <c r="J29" s="49">
        <f t="shared" si="7"/>
        <v>14.101632592123751</v>
      </c>
      <c r="K29" s="50">
        <f t="shared" si="7"/>
        <v>14.101632592123751</v>
      </c>
    </row>
    <row r="30" spans="1:11" x14ac:dyDescent="0.2">
      <c r="A30" s="46" t="s">
        <v>58</v>
      </c>
      <c r="B30" s="47">
        <f>SUM(B28)</f>
        <v>59724.43</v>
      </c>
      <c r="C30" s="47">
        <f t="shared" ref="C30:K30" si="8">SUM(C28)</f>
        <v>66807.17</v>
      </c>
      <c r="D30" s="47">
        <f t="shared" si="8"/>
        <v>77106.990000000005</v>
      </c>
      <c r="E30" s="47">
        <f t="shared" si="8"/>
        <v>77365.69</v>
      </c>
      <c r="F30" s="85">
        <f t="shared" si="8"/>
        <v>74183.66</v>
      </c>
      <c r="G30" s="78">
        <f t="shared" si="8"/>
        <v>73942.175650464516</v>
      </c>
      <c r="H30" s="78">
        <f t="shared" si="8"/>
        <v>73701.477386315906</v>
      </c>
      <c r="I30" s="78">
        <f t="shared" si="8"/>
        <v>73461.56264867101</v>
      </c>
      <c r="J30" s="78">
        <f t="shared" si="8"/>
        <v>73222.428886976384</v>
      </c>
      <c r="K30" s="79">
        <f t="shared" si="8"/>
        <v>72984.073558981254</v>
      </c>
    </row>
    <row r="31" spans="1:11" x14ac:dyDescent="0.2">
      <c r="A31" s="41" t="s">
        <v>40</v>
      </c>
      <c r="B31" s="65">
        <f>B12</f>
        <v>1735189.16</v>
      </c>
      <c r="C31" s="65">
        <f>C12</f>
        <v>1819121.66</v>
      </c>
      <c r="D31" s="65">
        <f>D12</f>
        <v>2334891.48</v>
      </c>
      <c r="E31" s="65">
        <f>E12</f>
        <v>2647747.5699999998</v>
      </c>
      <c r="F31" s="66">
        <f>F12</f>
        <v>2807772.72</v>
      </c>
      <c r="G31" s="67">
        <f>C3</f>
        <v>2977469.5052127647</v>
      </c>
      <c r="H31" s="67">
        <f>D3</f>
        <v>3157422.4620545302</v>
      </c>
      <c r="I31" s="67">
        <f>E3</f>
        <v>3348251.4552820255</v>
      </c>
      <c r="J31" s="67">
        <f>F3</f>
        <v>3550613.8131744834</v>
      </c>
      <c r="K31" s="68">
        <f>G3</f>
        <v>3765206.5917622549</v>
      </c>
    </row>
    <row r="32" spans="1:11" x14ac:dyDescent="0.2">
      <c r="A32" s="41" t="s">
        <v>59</v>
      </c>
      <c r="B32">
        <v>1395063.08</v>
      </c>
      <c r="C32">
        <v>1409271.44</v>
      </c>
      <c r="D32">
        <v>1664218.29</v>
      </c>
      <c r="E32">
        <v>1926405.71</v>
      </c>
      <c r="F32" s="39">
        <v>1920134.83</v>
      </c>
      <c r="G32" s="67">
        <f>F32*(1+$B$36)</f>
        <v>1913884.3631122382</v>
      </c>
      <c r="H32" s="67">
        <f t="shared" ref="H32:K32" si="9">G32*(1+$B$36)</f>
        <v>1907654.2428874841</v>
      </c>
      <c r="I32" s="67">
        <f t="shared" si="9"/>
        <v>1901444.4030928139</v>
      </c>
      <c r="J32" s="67">
        <f t="shared" si="9"/>
        <v>1895254.7777109069</v>
      </c>
      <c r="K32" s="68">
        <f t="shared" si="9"/>
        <v>1889085.3009393439</v>
      </c>
    </row>
    <row r="33" spans="1:11" x14ac:dyDescent="0.2">
      <c r="A33" s="89" t="s">
        <v>60</v>
      </c>
      <c r="B33" s="90">
        <f t="shared" ref="B33:K33" si="10">B26-B30</f>
        <v>159165.6</v>
      </c>
      <c r="C33" s="90">
        <f t="shared" si="10"/>
        <v>194392.33000000002</v>
      </c>
      <c r="D33" s="90">
        <f t="shared" si="10"/>
        <v>228538.27000000002</v>
      </c>
      <c r="E33" s="90">
        <f t="shared" si="10"/>
        <v>272309.24</v>
      </c>
      <c r="F33" s="91">
        <f t="shared" si="10"/>
        <v>269417.57999999996</v>
      </c>
      <c r="G33" s="92">
        <f t="shared" si="10"/>
        <v>288085.44069309789</v>
      </c>
      <c r="H33" s="92">
        <f t="shared" si="10"/>
        <v>307873.79079077649</v>
      </c>
      <c r="I33" s="92">
        <f t="shared" si="10"/>
        <v>328850.37594797707</v>
      </c>
      <c r="J33" s="92">
        <f t="shared" si="10"/>
        <v>351087.03616417595</v>
      </c>
      <c r="K33" s="93">
        <f t="shared" si="10"/>
        <v>374659.95323854743</v>
      </c>
    </row>
    <row r="34" spans="1:11" x14ac:dyDescent="0.2">
      <c r="A34" s="46" t="s">
        <v>0</v>
      </c>
      <c r="B34" s="47" t="s">
        <v>61</v>
      </c>
      <c r="C34" s="47">
        <f>C33-B33</f>
        <v>35226.73000000001</v>
      </c>
      <c r="D34" s="47">
        <f t="shared" ref="D34:K34" si="11">D33-C33</f>
        <v>34145.94</v>
      </c>
      <c r="E34" s="47">
        <f t="shared" si="11"/>
        <v>43770.969999999972</v>
      </c>
      <c r="F34" s="85">
        <f t="shared" si="11"/>
        <v>-2891.6600000000326</v>
      </c>
      <c r="G34" s="78">
        <f t="shared" si="11"/>
        <v>18667.860693097929</v>
      </c>
      <c r="H34" s="78">
        <f t="shared" si="11"/>
        <v>19788.350097678602</v>
      </c>
      <c r="I34" s="78">
        <f t="shared" si="11"/>
        <v>20976.585157200578</v>
      </c>
      <c r="J34" s="78">
        <f t="shared" si="11"/>
        <v>22236.660216198885</v>
      </c>
      <c r="K34" s="79">
        <f t="shared" si="11"/>
        <v>23572.917074371479</v>
      </c>
    </row>
    <row r="35" spans="1:11" x14ac:dyDescent="0.2">
      <c r="A35" s="41" t="s">
        <v>29</v>
      </c>
      <c r="B35" s="82">
        <f>B6</f>
        <v>6.0438219947077654E-2</v>
      </c>
      <c r="C35" t="s">
        <v>30</v>
      </c>
      <c r="G35" s="44"/>
      <c r="H35" s="44"/>
      <c r="I35" s="44"/>
      <c r="J35" s="44"/>
      <c r="K35" s="45"/>
    </row>
    <row r="36" spans="1:11" x14ac:dyDescent="0.2">
      <c r="A36" s="46" t="s">
        <v>62</v>
      </c>
      <c r="B36" s="84">
        <f>((F32-E32)/E32)</f>
        <v>-3.2552229094046283E-3</v>
      </c>
      <c r="C36" s="47" t="s">
        <v>63</v>
      </c>
      <c r="D36" s="47"/>
      <c r="E36" s="47"/>
      <c r="F36" s="47"/>
      <c r="G36" s="47"/>
      <c r="H36" s="47"/>
      <c r="I36" s="47"/>
      <c r="J36" s="47"/>
      <c r="K36" s="32"/>
    </row>
  </sheetData>
  <mergeCells count="5">
    <mergeCell ref="A27:K27"/>
    <mergeCell ref="A1:G1"/>
    <mergeCell ref="A10:K10"/>
    <mergeCell ref="A19:K19"/>
    <mergeCell ref="A21:K21"/>
  </mergeCells>
  <hyperlinks>
    <hyperlink ref="B28" r:id="rId1" display="59,724.43" xr:uid="{E3C95678-19B1-481A-A712-04A9BA9342DE}"/>
    <hyperlink ref="D28" r:id="rId2" display="77,106.99" xr:uid="{223DFF05-87E7-4F5A-A019-B6E7919BB2D1}"/>
    <hyperlink ref="E28" r:id="rId3" display="77,365.69" xr:uid="{78D3135C-8FCE-4CEF-89B0-EAB76F677E9D}"/>
    <hyperlink ref="F28" r:id="rId4" display="74,183.66" xr:uid="{328A8676-A507-468D-9C4C-1727132B3EAB}"/>
    <hyperlink ref="B22" r:id="rId5" display="218,890.03" xr:uid="{C9200BAB-BFFF-4EAD-B379-D4CF966E0C99}"/>
    <hyperlink ref="C22" r:id="rId6" display="261,199.50" xr:uid="{8F798A21-91E6-4B79-9295-B5DC7E3721BC}"/>
    <hyperlink ref="D22" r:id="rId7" display="297,207.48" xr:uid="{AE603B3D-9024-45CC-8EB0-38D44A58E9B8}"/>
    <hyperlink ref="E22" r:id="rId8" display="303,885.24" xr:uid="{5A3A3B0F-9C80-4E81-89B7-CB97EFB72A31}"/>
    <hyperlink ref="F22" r:id="rId9" display="306,858.51" xr:uid="{7D4BE0D6-2C27-4815-92B3-F1B86ED0EB12}"/>
    <hyperlink ref="C28" r:id="rId10" display="66,807.17" xr:uid="{B7AB727E-F68A-490E-B71B-C280A5F05AA2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56"/>
  <sheetViews>
    <sheetView showGridLines="0" zoomScaleNormal="100" workbookViewId="0">
      <selection activeCell="X22" sqref="X22"/>
    </sheetView>
  </sheetViews>
  <sheetFormatPr baseColWidth="10" defaultColWidth="9.1640625" defaultRowHeight="16" x14ac:dyDescent="0.2"/>
  <cols>
    <col min="1" max="1" width="3.5" style="1" customWidth="1"/>
    <col min="2" max="3" width="12.5" style="1" customWidth="1"/>
    <col min="4" max="4" width="15.1640625" style="2" customWidth="1"/>
    <col min="5" max="9" width="11.5" style="1" customWidth="1"/>
    <col min="10" max="14" width="12.5" style="1" customWidth="1"/>
    <col min="15" max="16384" width="9.1640625" style="1"/>
  </cols>
  <sheetData>
    <row r="1" spans="1:15" x14ac:dyDescent="0.2">
      <c r="A1" s="119"/>
      <c r="B1" s="120" t="s">
        <v>64</v>
      </c>
      <c r="C1" s="121"/>
      <c r="D1" s="121"/>
      <c r="E1" s="121"/>
      <c r="F1" s="122"/>
      <c r="G1" s="122"/>
      <c r="H1" s="119"/>
      <c r="I1" s="120"/>
      <c r="J1" s="121"/>
      <c r="K1" s="121"/>
      <c r="L1" s="121"/>
      <c r="M1" s="122"/>
      <c r="N1" s="122"/>
    </row>
    <row r="2" spans="1:15" x14ac:dyDescent="0.2">
      <c r="A2" s="3"/>
      <c r="B2" s="4"/>
      <c r="C2" s="3"/>
      <c r="D2" s="5"/>
      <c r="E2" s="6"/>
      <c r="F2" s="6"/>
      <c r="G2" s="6"/>
      <c r="H2" s="6"/>
      <c r="I2" s="6"/>
      <c r="J2" s="3"/>
      <c r="K2" s="3"/>
      <c r="L2" s="3"/>
      <c r="M2" s="3"/>
      <c r="N2" s="3"/>
      <c r="O2" s="3"/>
    </row>
    <row r="3" spans="1:15" x14ac:dyDescent="0.2">
      <c r="A3" s="3"/>
      <c r="B3" s="114" t="s">
        <v>65</v>
      </c>
      <c r="C3" s="115"/>
      <c r="D3" s="115"/>
      <c r="E3" s="116" t="s">
        <v>66</v>
      </c>
      <c r="F3" s="3"/>
      <c r="G3" s="3"/>
      <c r="H3" s="3"/>
      <c r="I3" s="3"/>
      <c r="J3" s="3"/>
      <c r="K3" s="3"/>
      <c r="L3" s="3"/>
      <c r="M3" s="3"/>
      <c r="N3" s="3"/>
      <c r="O3" s="3"/>
    </row>
    <row r="4" spans="1:15" x14ac:dyDescent="0.2">
      <c r="A4" s="3"/>
      <c r="B4" s="21" t="s">
        <v>67</v>
      </c>
      <c r="C4" s="13"/>
      <c r="D4" s="38">
        <v>0.23499999999999999</v>
      </c>
      <c r="E4" s="112" t="s">
        <v>68</v>
      </c>
      <c r="F4" s="3"/>
      <c r="G4" s="3"/>
      <c r="H4" s="3"/>
      <c r="I4" s="3"/>
      <c r="J4" s="3"/>
      <c r="K4" s="3"/>
      <c r="L4" s="3"/>
      <c r="M4" s="3"/>
      <c r="N4" s="3"/>
      <c r="O4" s="3"/>
    </row>
    <row r="5" spans="1:15" x14ac:dyDescent="0.2">
      <c r="A5" s="3"/>
      <c r="B5" s="36" t="s">
        <v>69</v>
      </c>
      <c r="C5" s="35"/>
      <c r="D5" s="37">
        <v>5.57E-2</v>
      </c>
      <c r="E5" s="113" t="s">
        <v>70</v>
      </c>
      <c r="F5" s="3"/>
      <c r="G5" s="3"/>
      <c r="H5" s="3"/>
      <c r="I5" s="3"/>
      <c r="J5" s="3"/>
      <c r="K5" s="3"/>
      <c r="L5" s="3"/>
      <c r="M5" s="3"/>
      <c r="N5" s="3"/>
      <c r="O5" s="3"/>
    </row>
    <row r="6" spans="1:15" x14ac:dyDescent="0.2">
      <c r="A6" s="3"/>
      <c r="B6" s="3" t="s">
        <v>71</v>
      </c>
      <c r="C6" s="3"/>
      <c r="D6" s="33">
        <v>0.02</v>
      </c>
      <c r="E6" s="6" t="s">
        <v>72</v>
      </c>
      <c r="F6" s="3"/>
      <c r="G6" s="3"/>
      <c r="H6" s="3"/>
      <c r="I6" s="3"/>
      <c r="J6" s="3"/>
      <c r="K6" s="3"/>
      <c r="L6" s="3"/>
      <c r="M6" s="3"/>
      <c r="N6" s="3"/>
      <c r="O6" s="3"/>
    </row>
    <row r="7" spans="1:15" x14ac:dyDescent="0.2">
      <c r="A7" s="3"/>
      <c r="B7" s="3" t="s">
        <v>73</v>
      </c>
      <c r="C7" s="3"/>
      <c r="D7" s="8">
        <v>5</v>
      </c>
      <c r="E7" s="6" t="s">
        <v>125</v>
      </c>
      <c r="F7" s="3"/>
      <c r="G7" s="3"/>
      <c r="H7" s="3"/>
      <c r="I7" s="3"/>
      <c r="J7" s="3"/>
      <c r="K7" s="3"/>
      <c r="L7" s="3"/>
      <c r="M7" s="3"/>
      <c r="N7" s="3"/>
      <c r="O7" s="3"/>
    </row>
    <row r="8" spans="1:15" x14ac:dyDescent="0.2">
      <c r="A8" s="3"/>
      <c r="B8" s="3" t="s">
        <v>74</v>
      </c>
      <c r="C8" s="3"/>
      <c r="D8" s="9">
        <v>45793</v>
      </c>
      <c r="E8" s="6" t="s">
        <v>75</v>
      </c>
      <c r="F8" s="3"/>
      <c r="G8" s="3"/>
      <c r="H8" s="3"/>
      <c r="I8" s="3"/>
      <c r="J8" s="3"/>
      <c r="K8" s="3"/>
      <c r="L8"/>
      <c r="M8" s="3"/>
      <c r="N8" s="3"/>
      <c r="O8" s="3"/>
    </row>
    <row r="9" spans="1:15" x14ac:dyDescent="0.2">
      <c r="A9" s="3"/>
      <c r="B9" s="3" t="s">
        <v>76</v>
      </c>
      <c r="C9" s="3"/>
      <c r="D9" s="22">
        <v>45657</v>
      </c>
      <c r="E9" s="6" t="s">
        <v>77</v>
      </c>
      <c r="F9" s="3"/>
      <c r="G9" s="3"/>
      <c r="H9" s="3"/>
      <c r="I9" s="3"/>
      <c r="J9" s="3"/>
      <c r="K9" s="3"/>
      <c r="L9" s="3"/>
      <c r="M9" s="3"/>
      <c r="N9" s="3"/>
      <c r="O9" s="3"/>
    </row>
    <row r="10" spans="1:15" x14ac:dyDescent="0.2">
      <c r="A10" s="3"/>
      <c r="B10" s="3" t="s">
        <v>78</v>
      </c>
      <c r="C10" s="3"/>
      <c r="D10" s="34">
        <v>33.664000000000001</v>
      </c>
      <c r="E10" s="6" t="s">
        <v>79</v>
      </c>
      <c r="F10" s="3"/>
      <c r="G10" s="3"/>
      <c r="H10" s="3"/>
      <c r="I10" s="3"/>
      <c r="J10" s="3"/>
      <c r="K10" s="3"/>
      <c r="L10" s="3"/>
      <c r="M10" s="3"/>
      <c r="N10" s="3"/>
      <c r="O10" s="3"/>
    </row>
    <row r="11" spans="1:15" x14ac:dyDescent="0.2">
      <c r="A11" s="3"/>
      <c r="B11" s="3" t="s">
        <v>80</v>
      </c>
      <c r="C11" s="3"/>
      <c r="D11" s="56">
        <v>68485.350000000006</v>
      </c>
      <c r="E11" s="6"/>
      <c r="F11" s="3"/>
      <c r="G11" s="3"/>
      <c r="H11" s="3"/>
      <c r="I11" s="3"/>
      <c r="J11" s="3"/>
      <c r="K11" s="3"/>
      <c r="L11" s="116" t="s">
        <v>81</v>
      </c>
      <c r="M11" s="116"/>
      <c r="N11" s="116" t="s">
        <v>82</v>
      </c>
      <c r="O11" s="116" t="s">
        <v>17</v>
      </c>
    </row>
    <row r="12" spans="1:15" x14ac:dyDescent="0.2">
      <c r="A12" s="3"/>
      <c r="B12" s="3" t="s">
        <v>83</v>
      </c>
      <c r="C12" s="3"/>
      <c r="D12" s="56">
        <v>590727.14</v>
      </c>
      <c r="E12" s="6"/>
      <c r="F12" s="3"/>
      <c r="G12" s="3"/>
      <c r="H12" s="3"/>
      <c r="I12" s="3"/>
      <c r="J12" s="3"/>
      <c r="K12" s="3"/>
      <c r="L12" s="3" t="s">
        <v>84</v>
      </c>
      <c r="M12" s="3"/>
      <c r="N12" s="17">
        <f>N39</f>
        <v>51.903766794478862</v>
      </c>
      <c r="O12" s="17">
        <f>N12/0.09162</f>
        <v>566.51131624622212</v>
      </c>
    </row>
    <row r="13" spans="1:15" x14ac:dyDescent="0.2">
      <c r="A13" s="3"/>
      <c r="B13" s="3" t="s">
        <v>85</v>
      </c>
      <c r="C13" s="3"/>
      <c r="D13" s="56">
        <v>630176.55000000005</v>
      </c>
      <c r="E13" s="6"/>
      <c r="F13" s="3"/>
      <c r="G13" s="3"/>
      <c r="H13" s="3"/>
      <c r="I13" s="3"/>
      <c r="J13" s="3"/>
      <c r="K13" s="3"/>
      <c r="L13" s="3" t="s">
        <v>86</v>
      </c>
      <c r="M13" s="3"/>
      <c r="N13" s="17">
        <f>I38</f>
        <v>33.664000000000001</v>
      </c>
      <c r="O13" s="17">
        <f t="shared" ref="O13:O14" si="0">N13/0.09162</f>
        <v>367.43069198864879</v>
      </c>
    </row>
    <row r="14" spans="1:15" x14ac:dyDescent="0.2">
      <c r="A14" s="3"/>
      <c r="B14" s="3" t="s">
        <v>87</v>
      </c>
      <c r="C14" s="3"/>
      <c r="D14" s="56">
        <v>1220903.69</v>
      </c>
      <c r="E14" s="6"/>
      <c r="F14" s="3"/>
      <c r="G14" s="3"/>
      <c r="H14" s="3"/>
      <c r="I14" s="3"/>
      <c r="J14" s="3"/>
      <c r="K14" s="3"/>
      <c r="L14" s="3" t="s">
        <v>88</v>
      </c>
      <c r="M14" s="3"/>
      <c r="N14" s="17">
        <f>N13*(1-N15)</f>
        <v>25.248000000000001</v>
      </c>
      <c r="O14" s="17">
        <f t="shared" si="0"/>
        <v>275.57301899148661</v>
      </c>
    </row>
    <row r="15" spans="1:15" x14ac:dyDescent="0.2">
      <c r="A15" s="3"/>
      <c r="B15" s="3" t="s">
        <v>89</v>
      </c>
      <c r="C15" s="3"/>
      <c r="D15" s="56">
        <v>766221.68</v>
      </c>
      <c r="E15" s="6"/>
      <c r="F15" s="3"/>
      <c r="G15" s="3"/>
      <c r="H15" s="3"/>
      <c r="I15" s="3"/>
      <c r="J15" s="3"/>
      <c r="K15" s="3"/>
      <c r="L15" s="3" t="s">
        <v>90</v>
      </c>
      <c r="M15" s="3"/>
      <c r="N15" s="17">
        <v>0.25</v>
      </c>
      <c r="O15" s="17">
        <v>0.25</v>
      </c>
    </row>
    <row r="16" spans="1:15" x14ac:dyDescent="0.2">
      <c r="A16" s="3"/>
      <c r="B16" s="3" t="s">
        <v>91</v>
      </c>
      <c r="C16" s="3"/>
      <c r="D16" s="56">
        <v>145399.84</v>
      </c>
      <c r="E16" s="6" t="s">
        <v>92</v>
      </c>
      <c r="F16" s="3"/>
      <c r="G16" s="3"/>
      <c r="H16" s="3"/>
      <c r="I16" s="3"/>
      <c r="J16" s="3"/>
      <c r="K16" s="3"/>
      <c r="L16" s="3"/>
      <c r="M16" s="3"/>
      <c r="N16" s="3"/>
      <c r="O16" s="3"/>
    </row>
    <row r="17" spans="1:15" x14ac:dyDescent="0.2">
      <c r="A17" s="3"/>
      <c r="B17" s="3"/>
      <c r="C17" s="3"/>
      <c r="D17" s="9"/>
      <c r="J17" s="3"/>
      <c r="K17" s="3"/>
      <c r="L17" s="3"/>
      <c r="M17" s="3"/>
      <c r="N17" s="3"/>
      <c r="O17" s="3"/>
    </row>
    <row r="18" spans="1:15" x14ac:dyDescent="0.2">
      <c r="A18" s="3"/>
      <c r="B18" s="114" t="s">
        <v>93</v>
      </c>
      <c r="C18" s="115"/>
      <c r="D18" s="117" t="s">
        <v>94</v>
      </c>
      <c r="E18" s="118">
        <f>YEAR(E19)</f>
        <v>2025</v>
      </c>
      <c r="F18" s="118">
        <f t="shared" ref="F18:I18" si="1">YEAR(F19)</f>
        <v>2026</v>
      </c>
      <c r="G18" s="118">
        <f t="shared" si="1"/>
        <v>2027</v>
      </c>
      <c r="H18" s="118">
        <f t="shared" si="1"/>
        <v>2028</v>
      </c>
      <c r="I18" s="118">
        <f t="shared" si="1"/>
        <v>2029</v>
      </c>
      <c r="J18" s="117" t="s">
        <v>95</v>
      </c>
      <c r="K18" s="3"/>
      <c r="L18" s="114" t="s">
        <v>96</v>
      </c>
      <c r="M18" s="115"/>
      <c r="N18" s="115"/>
      <c r="O18" s="3"/>
    </row>
    <row r="19" spans="1:15" x14ac:dyDescent="0.2">
      <c r="A19" s="3"/>
      <c r="B19" s="11" t="s">
        <v>16</v>
      </c>
      <c r="C19" s="11"/>
      <c r="D19" s="23">
        <f>D8</f>
        <v>45793</v>
      </c>
      <c r="E19" s="24">
        <f>DATE(YEAR($D$9)+E20,12,31)</f>
        <v>46022</v>
      </c>
      <c r="F19" s="24">
        <f>DATE(YEAR($D$9)+F20,12,31)</f>
        <v>46387</v>
      </c>
      <c r="G19" s="24">
        <f t="shared" ref="G19:I19" si="2">DATE(YEAR($D$9)+G20,12,31)</f>
        <v>46752</v>
      </c>
      <c r="H19" s="24">
        <f t="shared" si="2"/>
        <v>47118</v>
      </c>
      <c r="I19" s="24">
        <f t="shared" si="2"/>
        <v>47483</v>
      </c>
      <c r="J19" s="28">
        <f>I19</f>
        <v>47483</v>
      </c>
      <c r="K19" s="3"/>
      <c r="L19" s="11" t="s">
        <v>97</v>
      </c>
      <c r="M19" s="11"/>
      <c r="N19" s="11">
        <f>(I27*(1+D6))/(D5-D6)</f>
        <v>5918516.1026154496</v>
      </c>
      <c r="O19" s="3"/>
    </row>
    <row r="20" spans="1:15" x14ac:dyDescent="0.2">
      <c r="A20" s="3"/>
      <c r="B20" s="25" t="s">
        <v>98</v>
      </c>
      <c r="C20" s="25"/>
      <c r="D20" s="23"/>
      <c r="E20" s="27">
        <v>1</v>
      </c>
      <c r="F20" s="26">
        <f>E20+1</f>
        <v>2</v>
      </c>
      <c r="G20" s="26">
        <f>F20+1</f>
        <v>3</v>
      </c>
      <c r="H20" s="26">
        <f t="shared" ref="H20:I20" si="3">G20+1</f>
        <v>4</v>
      </c>
      <c r="I20" s="26">
        <f t="shared" si="3"/>
        <v>5</v>
      </c>
      <c r="J20" s="23"/>
      <c r="K20" s="3"/>
      <c r="L20" s="3" t="s">
        <v>99</v>
      </c>
      <c r="M20" s="3"/>
      <c r="N20" s="12">
        <f>D7*(I22+I24)</f>
        <v>2450968.251463525</v>
      </c>
      <c r="O20" s="3"/>
    </row>
    <row r="21" spans="1:15" x14ac:dyDescent="0.2">
      <c r="A21" s="3"/>
      <c r="B21" s="20" t="s">
        <v>100</v>
      </c>
      <c r="C21" s="3"/>
      <c r="D21" s="3"/>
      <c r="E21" s="19">
        <f>YEARFRAC(D19,E19)</f>
        <v>0.625</v>
      </c>
      <c r="F21" s="19">
        <f>YEARFRAC(E19,F19)</f>
        <v>1</v>
      </c>
      <c r="G21" s="19">
        <f>YEARFRAC(F19,G19)</f>
        <v>1</v>
      </c>
      <c r="H21" s="19">
        <f>YEARFRAC(G19,H19)</f>
        <v>1</v>
      </c>
      <c r="I21" s="19">
        <f>YEARFRAC(H19,I19)</f>
        <v>1</v>
      </c>
      <c r="J21" s="3"/>
      <c r="K21" s="3"/>
      <c r="L21" s="3" t="s">
        <v>101</v>
      </c>
      <c r="M21" s="3"/>
      <c r="N21" s="10">
        <f>AVERAGE(N19:N20)</f>
        <v>4184742.1770394873</v>
      </c>
      <c r="O21" s="3"/>
    </row>
    <row r="22" spans="1:15" x14ac:dyDescent="0.2">
      <c r="A22" s="3"/>
      <c r="B22" s="15" t="s">
        <v>102</v>
      </c>
      <c r="C22" s="3"/>
      <c r="D22" s="3"/>
      <c r="E22" s="13">
        <f>Forecasts!C5</f>
        <v>348130.37050711509</v>
      </c>
      <c r="F22" s="13">
        <f>Forecasts!D5</f>
        <v>378643.01779624529</v>
      </c>
      <c r="G22" s="13">
        <f>Forecasts!E5</f>
        <v>411572.28215308615</v>
      </c>
      <c r="H22" s="13">
        <f>Forecasts!F5</f>
        <v>447098.81970549846</v>
      </c>
      <c r="I22" s="13">
        <f>Forecasts!G5</f>
        <v>485416.29628422495</v>
      </c>
      <c r="J22" s="3"/>
      <c r="K22" s="3"/>
      <c r="L22" s="3"/>
      <c r="M22" s="3"/>
      <c r="N22" s="3"/>
      <c r="O22" s="3"/>
    </row>
    <row r="23" spans="1:15" x14ac:dyDescent="0.2">
      <c r="A23" s="3"/>
      <c r="B23" s="3" t="s">
        <v>103</v>
      </c>
      <c r="C23" s="3"/>
      <c r="D23" s="3"/>
      <c r="E23" s="12">
        <f>E22*$D$4</f>
        <v>81810.637069172037</v>
      </c>
      <c r="F23" s="12">
        <f>F22*$D$4</f>
        <v>88981.109182117638</v>
      </c>
      <c r="G23" s="12">
        <f>G22*$D$4</f>
        <v>96719.486305975239</v>
      </c>
      <c r="H23" s="12">
        <f>H22*$D$4</f>
        <v>105068.22263079214</v>
      </c>
      <c r="I23" s="12">
        <f>I22*$D$4</f>
        <v>114072.82962679285</v>
      </c>
      <c r="J23" s="3"/>
      <c r="K23" s="3"/>
      <c r="L23" s="3"/>
      <c r="M23" s="3"/>
      <c r="N23" s="3"/>
      <c r="O23" s="3"/>
    </row>
    <row r="24" spans="1:15" x14ac:dyDescent="0.2">
      <c r="A24" s="3"/>
      <c r="B24" s="35" t="s">
        <v>104</v>
      </c>
      <c r="C24" s="3"/>
      <c r="D24" s="3"/>
      <c r="E24" s="14">
        <f>Forecasts!G14</f>
        <v>113506.36531072669</v>
      </c>
      <c r="F24" s="14">
        <f>Forecasts!H14</f>
        <v>51411.706408471444</v>
      </c>
      <c r="G24" s="14">
        <f>Forecasts!I14</f>
        <v>23286.47867980913</v>
      </c>
      <c r="H24" s="14">
        <f>Forecasts!J14</f>
        <v>10547.40500143861</v>
      </c>
      <c r="I24" s="14">
        <f>Forecasts!K14</f>
        <v>4777.3540084800861</v>
      </c>
      <c r="J24" s="3"/>
      <c r="K24" s="3"/>
      <c r="L24" s="3"/>
      <c r="M24" s="3"/>
      <c r="N24" s="3"/>
      <c r="O24" s="3"/>
    </row>
    <row r="25" spans="1:15" x14ac:dyDescent="0.2">
      <c r="A25" s="3"/>
      <c r="B25" s="3" t="s">
        <v>105</v>
      </c>
      <c r="C25" s="3"/>
      <c r="D25" s="3"/>
      <c r="E25" s="7">
        <f>$D$16</f>
        <v>145399.84</v>
      </c>
      <c r="F25" s="7">
        <f t="shared" ref="F25:I25" si="4">$D$16</f>
        <v>145399.84</v>
      </c>
      <c r="G25" s="7">
        <f t="shared" si="4"/>
        <v>145399.84</v>
      </c>
      <c r="H25" s="7">
        <f t="shared" si="4"/>
        <v>145399.84</v>
      </c>
      <c r="I25" s="7">
        <f t="shared" si="4"/>
        <v>145399.84</v>
      </c>
      <c r="J25" s="3"/>
      <c r="K25" s="3"/>
      <c r="L25" s="3"/>
      <c r="M25" s="3"/>
      <c r="N25" s="3"/>
      <c r="O25" s="3"/>
    </row>
    <row r="26" spans="1:15" x14ac:dyDescent="0.2">
      <c r="A26" s="3"/>
      <c r="B26" s="35" t="s">
        <v>106</v>
      </c>
      <c r="C26" s="3"/>
      <c r="D26" s="3"/>
      <c r="E26" s="6">
        <f>Forecasts!G34</f>
        <v>18667.860693097929</v>
      </c>
      <c r="F26" s="6">
        <f>Forecasts!H34</f>
        <v>19788.350097678602</v>
      </c>
      <c r="G26" s="6">
        <f>Forecasts!I34</f>
        <v>20976.585157200578</v>
      </c>
      <c r="H26" s="6">
        <f>Forecasts!J34</f>
        <v>22236.660216198885</v>
      </c>
      <c r="I26" s="6">
        <f>Forecasts!K34</f>
        <v>23572.917074371479</v>
      </c>
      <c r="J26" s="3"/>
      <c r="K26" s="3"/>
      <c r="L26" s="3"/>
      <c r="M26" s="3"/>
      <c r="N26" s="3"/>
      <c r="O26" s="3"/>
    </row>
    <row r="27" spans="1:15" x14ac:dyDescent="0.2">
      <c r="A27" s="3"/>
      <c r="B27" s="3" t="s">
        <v>107</v>
      </c>
      <c r="C27" s="3"/>
      <c r="D27" s="3"/>
      <c r="E27" s="10">
        <f>E22-E23+E24-E25-E26</f>
        <v>215758.3980555718</v>
      </c>
      <c r="F27" s="10">
        <f>F22-F23+F24-F25-F26</f>
        <v>175885.42492492052</v>
      </c>
      <c r="G27" s="10">
        <f>G22-G23+G24-G25-G26</f>
        <v>171762.84936971948</v>
      </c>
      <c r="H27" s="10">
        <f>H22-H23+H24-H25-H26</f>
        <v>184941.50185994609</v>
      </c>
      <c r="I27" s="10">
        <f>I22-I23+I24-I25-I26</f>
        <v>207148.0635915407</v>
      </c>
      <c r="J27" s="3"/>
      <c r="K27" s="3"/>
      <c r="L27" s="3"/>
      <c r="M27" s="3"/>
      <c r="N27" s="3"/>
      <c r="O27" s="3"/>
    </row>
    <row r="28" spans="1:15" x14ac:dyDescent="0.2">
      <c r="A28" s="3"/>
      <c r="B28" s="3" t="s">
        <v>108</v>
      </c>
      <c r="C28" s="3"/>
      <c r="D28" s="15">
        <f>-I36</f>
        <v>-2129996.2824000004</v>
      </c>
      <c r="E28" s="3"/>
      <c r="F28" s="3"/>
      <c r="G28" s="3"/>
      <c r="H28" s="3"/>
      <c r="I28" s="3"/>
      <c r="J28" s="15">
        <f>N21</f>
        <v>4184742.1770394873</v>
      </c>
      <c r="K28" s="3"/>
      <c r="L28" s="3"/>
      <c r="M28" s="3"/>
      <c r="N28" s="3"/>
      <c r="O28" s="3"/>
    </row>
    <row r="29" spans="1:15" x14ac:dyDescent="0.2">
      <c r="A29" s="3"/>
      <c r="B29" s="3" t="s">
        <v>109</v>
      </c>
      <c r="C29" s="3"/>
      <c r="D29" s="10">
        <v>0</v>
      </c>
      <c r="E29" s="10">
        <f>(E28+E27)*E21</f>
        <v>134848.99878473236</v>
      </c>
      <c r="F29" s="10">
        <f t="shared" ref="F29:H29" si="5">(F28+F27)*F21</f>
        <v>175885.42492492052</v>
      </c>
      <c r="G29" s="10">
        <f t="shared" si="5"/>
        <v>171762.84936971948</v>
      </c>
      <c r="H29" s="10">
        <f t="shared" si="5"/>
        <v>184941.50185994609</v>
      </c>
      <c r="I29" s="10">
        <f>(I28+I27)*I21</f>
        <v>207148.0635915407</v>
      </c>
      <c r="J29" s="10">
        <f>J28+J27</f>
        <v>4184742.1770394873</v>
      </c>
      <c r="K29" s="3"/>
      <c r="L29" s="3"/>
      <c r="M29" s="3"/>
      <c r="N29" s="3"/>
      <c r="O29" s="3"/>
    </row>
    <row r="30" spans="1:15" x14ac:dyDescent="0.2">
      <c r="A30" s="3"/>
      <c r="B30" s="3" t="s">
        <v>109</v>
      </c>
      <c r="C30" s="3"/>
      <c r="D30" s="11">
        <f>D28+D27</f>
        <v>-2129996.2824000004</v>
      </c>
      <c r="E30" s="11">
        <f>(E28+E27)*E21</f>
        <v>134848.99878473236</v>
      </c>
      <c r="F30" s="11">
        <f t="shared" ref="F30:I30" si="6">(F28+F27)*F21</f>
        <v>175885.42492492052</v>
      </c>
      <c r="G30" s="11">
        <f t="shared" si="6"/>
        <v>171762.84936971948</v>
      </c>
      <c r="H30" s="11">
        <f t="shared" si="6"/>
        <v>184941.50185994609</v>
      </c>
      <c r="I30" s="11">
        <f t="shared" si="6"/>
        <v>207148.0635915407</v>
      </c>
      <c r="J30" s="11">
        <f>J28</f>
        <v>4184742.1770394873</v>
      </c>
      <c r="K30" s="3"/>
      <c r="L30" s="3"/>
      <c r="M30" s="3"/>
      <c r="N30" s="3"/>
      <c r="O30" s="3"/>
    </row>
    <row r="31" spans="1:15" x14ac:dyDescent="0.2">
      <c r="A31" s="3"/>
      <c r="B31" s="3"/>
      <c r="C31" s="3"/>
      <c r="D31" s="5"/>
      <c r="E31" s="3"/>
      <c r="G31" s="3"/>
      <c r="H31" s="3"/>
      <c r="I31" s="3"/>
      <c r="J31" s="3"/>
      <c r="L31" s="3"/>
      <c r="M31" s="3"/>
      <c r="N31" s="3"/>
      <c r="O31" s="3"/>
    </row>
    <row r="32" spans="1:15" x14ac:dyDescent="0.2">
      <c r="A32" s="3"/>
      <c r="B32" s="114" t="s">
        <v>110</v>
      </c>
      <c r="C32" s="115"/>
      <c r="D32" s="115"/>
      <c r="E32" s="3"/>
      <c r="G32" s="114" t="s">
        <v>111</v>
      </c>
      <c r="H32" s="115"/>
      <c r="I32" s="115"/>
      <c r="J32" s="3"/>
      <c r="L32" s="114" t="s">
        <v>112</v>
      </c>
      <c r="M32" s="115"/>
      <c r="N32" s="115"/>
      <c r="O32" s="3"/>
    </row>
    <row r="33" spans="1:15" x14ac:dyDescent="0.2">
      <c r="A33" s="3"/>
      <c r="B33" s="11" t="s">
        <v>113</v>
      </c>
      <c r="C33" s="11"/>
      <c r="D33" s="11">
        <f>XNPV(D5,D29:J29,D19:J19)</f>
        <v>4009329.6452382635</v>
      </c>
      <c r="E33" s="3"/>
      <c r="G33" s="11" t="s">
        <v>114</v>
      </c>
      <c r="H33" s="11"/>
      <c r="I33" s="11">
        <f>D11*D10</f>
        <v>2305490.8224000004</v>
      </c>
      <c r="J33" s="3"/>
      <c r="L33" s="11" t="s">
        <v>115</v>
      </c>
      <c r="M33" s="11"/>
      <c r="N33" s="29">
        <f>D38/I38-1</f>
        <v>0.54181816761165824</v>
      </c>
      <c r="O33" s="3"/>
    </row>
    <row r="34" spans="1:15" x14ac:dyDescent="0.2">
      <c r="A34" s="3"/>
      <c r="B34" s="3" t="s">
        <v>116</v>
      </c>
      <c r="C34" s="3"/>
      <c r="D34" s="3">
        <f>+D15</f>
        <v>766221.68</v>
      </c>
      <c r="E34" s="3"/>
      <c r="G34" s="3" t="s">
        <v>117</v>
      </c>
      <c r="H34" s="3"/>
      <c r="I34" s="3">
        <f>D12</f>
        <v>590727.14</v>
      </c>
      <c r="J34" s="3"/>
      <c r="L34" s="3" t="s">
        <v>118</v>
      </c>
      <c r="M34" s="3"/>
      <c r="N34" s="16">
        <f>XIRR(D30:J30,D19:J19)</f>
        <v>0.22788996100425721</v>
      </c>
      <c r="O34" s="3"/>
    </row>
    <row r="35" spans="1:15" x14ac:dyDescent="0.2">
      <c r="A35" s="3"/>
      <c r="B35" s="3" t="s">
        <v>119</v>
      </c>
      <c r="C35" s="3"/>
      <c r="D35" s="3">
        <f>+D14</f>
        <v>1220903.69</v>
      </c>
      <c r="E35" s="3"/>
      <c r="G35" s="3" t="s">
        <v>120</v>
      </c>
      <c r="H35" s="3"/>
      <c r="I35" s="3">
        <f>+D15</f>
        <v>766221.68</v>
      </c>
      <c r="J35" s="3"/>
      <c r="L35" s="3"/>
      <c r="M35" s="3"/>
      <c r="N35" s="3"/>
      <c r="O35" s="3"/>
    </row>
    <row r="36" spans="1:15" x14ac:dyDescent="0.2">
      <c r="A36" s="3"/>
      <c r="B36" s="3" t="s">
        <v>121</v>
      </c>
      <c r="C36" s="3"/>
      <c r="D36" s="10">
        <f>D33+D34-D35</f>
        <v>3554647.6352382633</v>
      </c>
      <c r="E36" s="3"/>
      <c r="G36" s="3" t="s">
        <v>113</v>
      </c>
      <c r="H36" s="3"/>
      <c r="I36" s="10">
        <f>I33+I34-I35</f>
        <v>2129996.2824000004</v>
      </c>
      <c r="J36" s="3"/>
      <c r="L36" s="114" t="s">
        <v>122</v>
      </c>
      <c r="M36" s="115"/>
      <c r="N36" s="115"/>
      <c r="O36" s="3"/>
    </row>
    <row r="37" spans="1:15" x14ac:dyDescent="0.2">
      <c r="A37" s="3"/>
      <c r="B37" s="3"/>
      <c r="C37" s="3"/>
      <c r="D37" s="3"/>
      <c r="E37" s="3"/>
      <c r="G37" s="3"/>
      <c r="H37" s="3"/>
      <c r="I37" s="17"/>
      <c r="J37" s="3"/>
      <c r="L37" s="3" t="s">
        <v>111</v>
      </c>
      <c r="M37" s="3"/>
      <c r="N37" s="17">
        <f>I38</f>
        <v>33.664000000000001</v>
      </c>
      <c r="O37" s="3"/>
    </row>
    <row r="38" spans="1:15" x14ac:dyDescent="0.2">
      <c r="A38" s="3"/>
      <c r="B38" s="3" t="s">
        <v>123</v>
      </c>
      <c r="C38" s="3"/>
      <c r="D38" s="17">
        <f>D36/D11</f>
        <v>51.903766794478862</v>
      </c>
      <c r="E38" s="3"/>
      <c r="G38" s="3" t="s">
        <v>123</v>
      </c>
      <c r="H38" s="3"/>
      <c r="I38" s="17">
        <f>D10</f>
        <v>33.664000000000001</v>
      </c>
      <c r="J38" s="3"/>
      <c r="L38" s="3" t="s">
        <v>124</v>
      </c>
      <c r="M38" s="3"/>
      <c r="N38" s="17">
        <f>D38-I38</f>
        <v>18.239766794478861</v>
      </c>
      <c r="O38" s="3"/>
    </row>
    <row r="39" spans="1:15" x14ac:dyDescent="0.2">
      <c r="A39" s="3"/>
      <c r="B39" s="3"/>
      <c r="C39" s="3"/>
      <c r="D39" s="3"/>
      <c r="E39" s="3"/>
      <c r="G39" s="3"/>
      <c r="H39" s="3"/>
      <c r="I39" s="3"/>
      <c r="J39" s="3"/>
      <c r="L39" s="3" t="s">
        <v>110</v>
      </c>
      <c r="M39" s="3"/>
      <c r="N39" s="17">
        <f>SUM(N37:N38)</f>
        <v>51.903766794478862</v>
      </c>
      <c r="O39" s="3"/>
    </row>
    <row r="40" spans="1:15" x14ac:dyDescent="0.2">
      <c r="A40" s="3"/>
      <c r="C40" s="3"/>
      <c r="D40" s="5"/>
      <c r="E40" s="3"/>
      <c r="G40" s="3"/>
      <c r="H40" s="3"/>
      <c r="I40" s="4"/>
      <c r="J40" s="3"/>
      <c r="L40" s="3"/>
      <c r="M40" s="3"/>
      <c r="N40" s="3"/>
      <c r="O40" s="3"/>
    </row>
    <row r="41" spans="1:15" x14ac:dyDescent="0.2">
      <c r="A41" s="3"/>
      <c r="C41" s="3"/>
      <c r="D41" s="5"/>
      <c r="E41" s="3"/>
      <c r="F41" s="3"/>
      <c r="G41" s="3"/>
      <c r="H41" s="4"/>
      <c r="I41" s="3"/>
      <c r="K41" s="3"/>
      <c r="L41" s="3"/>
      <c r="M41" s="3"/>
      <c r="N41" s="3"/>
      <c r="O41" s="3"/>
    </row>
    <row r="42" spans="1:15" x14ac:dyDescent="0.2">
      <c r="A42" s="3"/>
      <c r="B42" s="3"/>
      <c r="C42" s="3"/>
      <c r="D42" s="5"/>
      <c r="E42" s="3"/>
      <c r="F42" s="3"/>
      <c r="G42" s="3"/>
      <c r="H42" s="3"/>
      <c r="N42" s="18"/>
      <c r="O42" s="3"/>
    </row>
    <row r="43" spans="1:15" x14ac:dyDescent="0.2">
      <c r="A43" s="3"/>
      <c r="B43" s="3"/>
      <c r="C43" s="3"/>
      <c r="D43" s="5"/>
      <c r="E43" s="3"/>
      <c r="F43" s="3"/>
      <c r="G43" s="3"/>
      <c r="H43" s="3"/>
      <c r="N43" s="30"/>
      <c r="O43" s="3"/>
    </row>
    <row r="44" spans="1:15" x14ac:dyDescent="0.2">
      <c r="A44" s="3"/>
      <c r="B44" s="3"/>
      <c r="C44" s="3"/>
      <c r="D44" s="5"/>
      <c r="E44" s="3"/>
      <c r="F44" s="3"/>
      <c r="G44" s="3"/>
      <c r="H44" s="3"/>
      <c r="N44"/>
      <c r="O44" s="3"/>
    </row>
    <row r="45" spans="1:15" x14ac:dyDescent="0.2">
      <c r="A45" s="3"/>
      <c r="B45" s="3"/>
      <c r="C45" s="3"/>
      <c r="D45" s="5"/>
      <c r="E45" s="3"/>
      <c r="F45" s="3"/>
      <c r="G45" s="3"/>
      <c r="H45" s="3"/>
      <c r="O45" s="3"/>
    </row>
    <row r="46" spans="1:15" x14ac:dyDescent="0.2">
      <c r="A46" s="3"/>
      <c r="B46" s="3"/>
      <c r="C46" s="3"/>
      <c r="D46" s="5"/>
      <c r="E46" s="3"/>
      <c r="F46" s="3"/>
      <c r="G46" s="3"/>
      <c r="H46" s="3"/>
      <c r="M46" s="3"/>
      <c r="O46" s="3"/>
    </row>
    <row r="47" spans="1:15" x14ac:dyDescent="0.2">
      <c r="A47" s="3"/>
      <c r="B47" s="3"/>
      <c r="C47" s="3"/>
      <c r="D47" s="5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</row>
    <row r="48" spans="1:15" x14ac:dyDescent="0.2">
      <c r="A48" s="3"/>
      <c r="B48" s="3"/>
      <c r="C48" s="3"/>
      <c r="D48" s="5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</row>
    <row r="49" spans="1:15" x14ac:dyDescent="0.2">
      <c r="A49" s="3"/>
      <c r="B49" s="3"/>
      <c r="C49" s="3"/>
      <c r="D49" s="5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</row>
    <row r="50" spans="1:15" x14ac:dyDescent="0.2">
      <c r="A50" s="3"/>
      <c r="B50" s="3"/>
      <c r="C50" s="3"/>
      <c r="D50" s="5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</row>
    <row r="51" spans="1:15" x14ac:dyDescent="0.2">
      <c r="A51" s="3"/>
      <c r="B51" s="3"/>
      <c r="C51" s="3"/>
      <c r="D51" s="5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</row>
    <row r="52" spans="1:15" x14ac:dyDescent="0.2">
      <c r="A52" s="3"/>
      <c r="B52" s="3"/>
      <c r="C52" s="3"/>
      <c r="D52" s="5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</row>
    <row r="53" spans="1:15" x14ac:dyDescent="0.2">
      <c r="A53" s="3"/>
      <c r="B53" s="3"/>
      <c r="C53" s="3"/>
      <c r="D53" s="5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</row>
    <row r="54" spans="1:15" x14ac:dyDescent="0.2">
      <c r="A54" s="3"/>
      <c r="B54" s="3"/>
      <c r="C54" s="3"/>
      <c r="D54" s="5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</row>
    <row r="55" spans="1:15" x14ac:dyDescent="0.2">
      <c r="A55" s="3"/>
      <c r="B55" s="3"/>
      <c r="C55" s="3"/>
      <c r="D55" s="5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</row>
    <row r="56" spans="1:15" x14ac:dyDescent="0.2">
      <c r="B56" s="3"/>
      <c r="C56" s="3"/>
      <c r="D56" s="5"/>
      <c r="E56" s="3"/>
      <c r="F56" s="3"/>
      <c r="G56" s="3"/>
      <c r="H56" s="3"/>
      <c r="I56" s="3"/>
      <c r="J56" s="3"/>
      <c r="K56" s="3"/>
      <c r="L56" s="3"/>
    </row>
  </sheetData>
  <pageMargins left="0.70866141732283472" right="0.70866141732283472" top="0.74803149606299213" bottom="0.74803149606299213" header="0.31496062992125984" footer="0.31496062992125984"/>
  <pageSetup scale="7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WACC</vt:lpstr>
      <vt:lpstr>Forecasts</vt:lpstr>
      <vt:lpstr>DCF Model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Tim Vipond</dc:creator>
  <cp:keywords/>
  <dc:description/>
  <cp:lastModifiedBy>Alia Rezai</cp:lastModifiedBy>
  <cp:revision/>
  <dcterms:created xsi:type="dcterms:W3CDTF">2014-11-08T22:00:02Z</dcterms:created>
  <dcterms:modified xsi:type="dcterms:W3CDTF">2025-07-07T15:13:33Z</dcterms:modified>
  <cp:category/>
  <cp:contentStatus/>
</cp:coreProperties>
</file>